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3050\Downloads\"/>
    </mc:Choice>
  </mc:AlternateContent>
  <xr:revisionPtr revIDLastSave="0" documentId="13_ncr:1_{15E3066B-3E5D-4376-8538-89DBC9751D66}" xr6:coauthVersionLast="46" xr6:coauthVersionMax="46" xr10:uidLastSave="{00000000-0000-0000-0000-000000000000}"/>
  <bookViews>
    <workbookView xWindow="-120" yWindow="-120" windowWidth="24240" windowHeight="13140" activeTab="1" xr2:uid="{248F5E51-FA35-4036-A8CE-DB8C90C83D7A}"/>
  </bookViews>
  <sheets>
    <sheet name="dashboard" sheetId="7" r:id="rId1"/>
    <sheet name="dashboard map" sheetId="12" r:id="rId2"/>
    <sheet name="เรียงลำดับ" sheetId="10" r:id="rId3"/>
    <sheet name="เลือกรายเขต" sheetId="2" r:id="rId4"/>
    <sheet name="data" sheetId="13" r:id="rId5"/>
    <sheet name="ทะเบียนราษฏร์" sheetId="1" r:id="rId6"/>
    <sheet name="ข้อมูลอื่นๆ" sheetId="3" r:id="rId7"/>
    <sheet name="ข้อมูลชมรม" sheetId="8" state="hidden" r:id="rId8"/>
    <sheet name="ชมรม" sheetId="5" r:id="rId9"/>
    <sheet name="Sheet2" sheetId="9" state="hidden" r:id="rId10"/>
    <sheet name="ข้อมูลอื่นๆ (2)" sheetId="6" state="hidden" r:id="rId11"/>
  </sheets>
  <externalReferences>
    <externalReference r:id="rId12"/>
  </externalReferences>
  <definedNames>
    <definedName name="_xlnm._FilterDatabase" localSheetId="1" hidden="1">'dashboard map'!$B$4:$C$4</definedName>
    <definedName name="_xlnm._FilterDatabase" localSheetId="2" hidden="1">เรียงลำดับ!$B$4:$N$54</definedName>
    <definedName name="_xlchart.v5.0" hidden="1">'dashboard map'!$B$4</definedName>
    <definedName name="_xlchart.v5.1" hidden="1">'dashboard map'!$B$5:$B$54</definedName>
    <definedName name="_xlchart.v5.2" hidden="1">'dashboard map'!$C$3</definedName>
    <definedName name="_xlchart.v5.3" hidden="1">'dashboard map'!$C$4</definedName>
    <definedName name="_xlchart.v5.4" hidden="1">'dashboard map'!$C$5:$C$54</definedName>
    <definedName name="_xlchart.v5.5" hidden="1">'dashboard map'!$B$4</definedName>
    <definedName name="_xlchart.v5.6" hidden="1">'dashboard map'!$B$5:$B$54</definedName>
    <definedName name="_xlchart.v5.7" hidden="1">'dashboard map'!$C$3</definedName>
    <definedName name="_xlchart.v5.8" hidden="1">'dashboard map'!$C$4</definedName>
    <definedName name="_xlchart.v5.9" hidden="1">'dashboard map'!$C$5:$C$54</definedName>
    <definedName name="allay">ทะเบียนราษฏร์!$B$2:$AX$54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3" l="1"/>
  <c r="F8" i="13"/>
  <c r="G8" i="13"/>
  <c r="H8" i="13"/>
  <c r="C37" i="12" s="1"/>
  <c r="I8" i="13"/>
  <c r="J8" i="13"/>
  <c r="K8" i="13"/>
  <c r="L8" i="13"/>
  <c r="C29" i="12" s="1"/>
  <c r="M8" i="13"/>
  <c r="N8" i="13"/>
  <c r="O8" i="13"/>
  <c r="P8" i="13"/>
  <c r="Q8" i="13"/>
  <c r="R8" i="13"/>
  <c r="S8" i="13"/>
  <c r="T8" i="13"/>
  <c r="C45" i="12" s="1"/>
  <c r="U8" i="13"/>
  <c r="V8" i="13"/>
  <c r="W8" i="13"/>
  <c r="X8" i="13"/>
  <c r="Y8" i="13"/>
  <c r="Z8" i="13"/>
  <c r="AA8" i="13"/>
  <c r="AB8" i="13"/>
  <c r="C19" i="12" s="1"/>
  <c r="AC8" i="13"/>
  <c r="AD8" i="13"/>
  <c r="AE8" i="13"/>
  <c r="AF8" i="13"/>
  <c r="C14" i="12" s="1"/>
  <c r="AG8" i="13"/>
  <c r="AH8" i="13"/>
  <c r="AI8" i="13"/>
  <c r="AJ8" i="13"/>
  <c r="C39" i="12" s="1"/>
  <c r="AK8" i="13"/>
  <c r="AL8" i="13"/>
  <c r="AM8" i="13"/>
  <c r="AN8" i="13"/>
  <c r="C34" i="12" s="1"/>
  <c r="AO8" i="13"/>
  <c r="AP8" i="13"/>
  <c r="AQ8" i="13"/>
  <c r="AR8" i="13"/>
  <c r="C21" i="12" s="1"/>
  <c r="AS8" i="13"/>
  <c r="AT8" i="13"/>
  <c r="AU8" i="13"/>
  <c r="AV8" i="13"/>
  <c r="C47" i="12" s="1"/>
  <c r="AW8" i="13"/>
  <c r="AX8" i="13"/>
  <c r="AY8" i="13"/>
  <c r="AZ8" i="13"/>
  <c r="D8" i="13"/>
  <c r="C8" i="13"/>
  <c r="C13" i="12"/>
  <c r="C54" i="12"/>
  <c r="C31" i="12"/>
  <c r="C35" i="12"/>
  <c r="C12" i="12"/>
  <c r="C18" i="12"/>
  <c r="C32" i="12"/>
  <c r="C8" i="12"/>
  <c r="C48" i="12"/>
  <c r="C46" i="12"/>
  <c r="C30" i="12"/>
  <c r="C41" i="12"/>
  <c r="C43" i="12"/>
  <c r="C5" i="12"/>
  <c r="C17" i="12"/>
  <c r="C40" i="12"/>
  <c r="C52" i="12"/>
  <c r="C42" i="12"/>
  <c r="C9" i="12"/>
  <c r="C23" i="12"/>
  <c r="C28" i="12"/>
  <c r="C24" i="12"/>
  <c r="C50" i="12"/>
  <c r="C27" i="12"/>
  <c r="C44" i="12"/>
  <c r="C36" i="12"/>
  <c r="C10" i="12"/>
  <c r="C16" i="12"/>
  <c r="C51" i="12"/>
  <c r="C15" i="12"/>
  <c r="C22" i="12"/>
  <c r="C25" i="12"/>
  <c r="C33" i="12"/>
  <c r="C20" i="12"/>
  <c r="C53" i="12"/>
  <c r="C38" i="12"/>
  <c r="C11" i="12"/>
  <c r="C7" i="12"/>
  <c r="C26" i="12"/>
  <c r="C49" i="12"/>
  <c r="C6" i="12"/>
  <c r="D24" i="5"/>
  <c r="E4" i="10" l="1"/>
  <c r="D16" i="3"/>
  <c r="C16" i="3"/>
  <c r="H16" i="3"/>
  <c r="E16" i="3" s="1"/>
  <c r="K16" i="3"/>
  <c r="N16" i="3"/>
  <c r="E7" i="3"/>
  <c r="D4" i="10"/>
  <c r="F4" i="10" l="1"/>
  <c r="D51" i="5"/>
  <c r="C5" i="5"/>
  <c r="D7" i="5"/>
  <c r="D8" i="5"/>
  <c r="D9" i="5"/>
  <c r="D10" i="5"/>
  <c r="D11" i="5"/>
  <c r="D12" i="5"/>
  <c r="D13" i="5"/>
  <c r="D14" i="5"/>
  <c r="D15" i="5"/>
  <c r="D16" i="5"/>
  <c r="D17" i="5"/>
  <c r="D19" i="5"/>
  <c r="D21" i="5"/>
  <c r="D22" i="5"/>
  <c r="D23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2" i="5"/>
  <c r="D53" i="5"/>
  <c r="D54" i="5"/>
  <c r="D55" i="5"/>
  <c r="D6" i="5"/>
  <c r="D5" i="5" l="1"/>
  <c r="AW4" i="1"/>
  <c r="AV4" i="1"/>
  <c r="AT4" i="1"/>
  <c r="AS4" i="1"/>
  <c r="AQ4" i="1"/>
  <c r="AP4" i="1"/>
  <c r="AN4" i="1"/>
  <c r="AM4" i="1"/>
  <c r="AK4" i="1"/>
  <c r="AJ4" i="1"/>
  <c r="AH4" i="1"/>
  <c r="AG4" i="1"/>
  <c r="AE4" i="1"/>
  <c r="AD4" i="1"/>
  <c r="AB4" i="1"/>
  <c r="AA4" i="1"/>
  <c r="Y4" i="1"/>
  <c r="X4" i="1"/>
  <c r="S4" i="1"/>
  <c r="R4" i="1"/>
  <c r="P4" i="1"/>
  <c r="O4" i="1"/>
  <c r="M4" i="1"/>
  <c r="L4" i="1"/>
  <c r="J4" i="1"/>
  <c r="I4" i="1"/>
  <c r="BF31" i="1" l="1"/>
  <c r="BE31" i="1"/>
  <c r="BC31" i="1"/>
  <c r="BB31" i="1"/>
  <c r="AZ31" i="1"/>
  <c r="AY31" i="1"/>
  <c r="AX31" i="1"/>
  <c r="AU31" i="1"/>
  <c r="AR31" i="1"/>
  <c r="AO31" i="1"/>
  <c r="AL31" i="1"/>
  <c r="AI31" i="1"/>
  <c r="AF31" i="1"/>
  <c r="AC31" i="1"/>
  <c r="Z31" i="1"/>
  <c r="V31" i="1"/>
  <c r="U31" i="1"/>
  <c r="T31" i="1"/>
  <c r="Q31" i="1"/>
  <c r="N31" i="1"/>
  <c r="K31" i="1"/>
  <c r="G31" i="1"/>
  <c r="F31" i="1"/>
  <c r="BF52" i="1"/>
  <c r="BE52" i="1"/>
  <c r="BC52" i="1"/>
  <c r="BB52" i="1"/>
  <c r="AZ52" i="1"/>
  <c r="AY52" i="1"/>
  <c r="AX52" i="1"/>
  <c r="AU52" i="1"/>
  <c r="AR52" i="1"/>
  <c r="AO52" i="1"/>
  <c r="AL52" i="1"/>
  <c r="AI52" i="1"/>
  <c r="AF52" i="1"/>
  <c r="AC52" i="1"/>
  <c r="Z52" i="1"/>
  <c r="V52" i="1"/>
  <c r="U52" i="1"/>
  <c r="T52" i="1"/>
  <c r="Q52" i="1"/>
  <c r="N52" i="1"/>
  <c r="K52" i="1"/>
  <c r="G52" i="1"/>
  <c r="F52" i="1"/>
  <c r="G21" i="1"/>
  <c r="G4" i="1" s="1"/>
  <c r="F21" i="1"/>
  <c r="K21" i="1"/>
  <c r="N21" i="1"/>
  <c r="Q21" i="1"/>
  <c r="Q4" i="1" s="1"/>
  <c r="T21" i="1"/>
  <c r="V21" i="1"/>
  <c r="U21" i="1"/>
  <c r="U4" i="1" s="1"/>
  <c r="Z21" i="1"/>
  <c r="AC21" i="1"/>
  <c r="AC4" i="1" s="1"/>
  <c r="AF21" i="1"/>
  <c r="AI21" i="1"/>
  <c r="AI4" i="1" s="1"/>
  <c r="AL21" i="1"/>
  <c r="AO21" i="1"/>
  <c r="AO4" i="1" s="1"/>
  <c r="AR21" i="1"/>
  <c r="AU21" i="1"/>
  <c r="AU4" i="1" s="1"/>
  <c r="AX21" i="1"/>
  <c r="AR4" i="1" l="1"/>
  <c r="V4" i="1"/>
  <c r="H21" i="1"/>
  <c r="BD31" i="1"/>
  <c r="K4" i="1"/>
  <c r="AF4" i="1"/>
  <c r="N4" i="1"/>
  <c r="W21" i="1"/>
  <c r="W4" i="1" s="1"/>
  <c r="AX4" i="1"/>
  <c r="AL4" i="1"/>
  <c r="Z4" i="1"/>
  <c r="T4" i="1"/>
  <c r="F4" i="1"/>
  <c r="BG31" i="1"/>
  <c r="W31" i="1"/>
  <c r="BA31" i="1"/>
  <c r="H31" i="1"/>
  <c r="BG52" i="1"/>
  <c r="W52" i="1"/>
  <c r="BD52" i="1"/>
  <c r="BA52" i="1"/>
  <c r="H52" i="1"/>
  <c r="BC43" i="1"/>
  <c r="BE43" i="1"/>
  <c r="BF43" i="1"/>
  <c r="H4" i="1" l="1"/>
  <c r="BF54" i="1"/>
  <c r="BF53" i="1"/>
  <c r="BF50" i="1"/>
  <c r="BF49" i="1"/>
  <c r="BF48" i="1"/>
  <c r="BF47" i="1"/>
  <c r="BF45" i="1"/>
  <c r="BF44" i="1"/>
  <c r="BF42" i="1"/>
  <c r="BF41" i="1"/>
  <c r="BF40" i="1"/>
  <c r="BF39" i="1"/>
  <c r="BF38" i="1"/>
  <c r="BF37" i="1"/>
  <c r="BF36" i="1"/>
  <c r="BF35" i="1"/>
  <c r="BF34" i="1"/>
  <c r="BF33" i="1"/>
  <c r="BF32" i="1"/>
  <c r="BF30" i="1"/>
  <c r="BF29" i="1"/>
  <c r="BF28" i="1"/>
  <c r="BF27" i="1"/>
  <c r="BF26" i="1"/>
  <c r="BF25" i="1"/>
  <c r="BF24" i="1"/>
  <c r="BF23" i="1"/>
  <c r="BF22" i="1"/>
  <c r="BF21" i="1"/>
  <c r="BF18" i="1"/>
  <c r="BF17" i="1"/>
  <c r="BF16" i="1"/>
  <c r="BF15" i="1"/>
  <c r="BF14" i="1"/>
  <c r="BF13" i="1"/>
  <c r="BF12" i="1"/>
  <c r="BF10" i="1"/>
  <c r="BF9" i="1"/>
  <c r="BF8" i="1"/>
  <c r="BF6" i="1"/>
  <c r="BE54" i="1"/>
  <c r="BG54" i="1" s="1"/>
  <c r="BE53" i="1"/>
  <c r="BG53" i="1" s="1"/>
  <c r="BE50" i="1"/>
  <c r="BG50" i="1" s="1"/>
  <c r="BE49" i="1"/>
  <c r="BG49" i="1" s="1"/>
  <c r="BE48" i="1"/>
  <c r="BG48" i="1" s="1"/>
  <c r="BE47" i="1"/>
  <c r="BG47" i="1" s="1"/>
  <c r="BE45" i="1"/>
  <c r="BG45" i="1" s="1"/>
  <c r="BE44" i="1"/>
  <c r="BG44" i="1" s="1"/>
  <c r="BG43" i="1"/>
  <c r="BE42" i="1"/>
  <c r="BG42" i="1" s="1"/>
  <c r="BE41" i="1"/>
  <c r="BG41" i="1" s="1"/>
  <c r="BE40" i="1"/>
  <c r="BE39" i="1"/>
  <c r="BG39" i="1" s="1"/>
  <c r="BE38" i="1"/>
  <c r="BG38" i="1" s="1"/>
  <c r="BE37" i="1"/>
  <c r="BG37" i="1" s="1"/>
  <c r="BE36" i="1"/>
  <c r="BE35" i="1"/>
  <c r="BG35" i="1" s="1"/>
  <c r="BE34" i="1"/>
  <c r="BG34" i="1" s="1"/>
  <c r="BE33" i="1"/>
  <c r="BG33" i="1" s="1"/>
  <c r="BE32" i="1"/>
  <c r="BE30" i="1"/>
  <c r="BG30" i="1" s="1"/>
  <c r="BE29" i="1"/>
  <c r="BG29" i="1" s="1"/>
  <c r="BE28" i="1"/>
  <c r="BG28" i="1" s="1"/>
  <c r="BE27" i="1"/>
  <c r="BE26" i="1"/>
  <c r="BG26" i="1" s="1"/>
  <c r="BE25" i="1"/>
  <c r="BG25" i="1" s="1"/>
  <c r="BE24" i="1"/>
  <c r="BG24" i="1" s="1"/>
  <c r="BE23" i="1"/>
  <c r="BE22" i="1"/>
  <c r="BG22" i="1" s="1"/>
  <c r="BE21" i="1"/>
  <c r="BE18" i="1"/>
  <c r="BG18" i="1" s="1"/>
  <c r="BE17" i="1"/>
  <c r="BE16" i="1"/>
  <c r="BG16" i="1" s="1"/>
  <c r="BE15" i="1"/>
  <c r="BG15" i="1" s="1"/>
  <c r="BE14" i="1"/>
  <c r="BG14" i="1" s="1"/>
  <c r="BE13" i="1"/>
  <c r="BE12" i="1"/>
  <c r="BG12" i="1" s="1"/>
  <c r="BE10" i="1"/>
  <c r="BG10" i="1" s="1"/>
  <c r="BE9" i="1"/>
  <c r="BG9" i="1" s="1"/>
  <c r="BE8" i="1"/>
  <c r="BE6" i="1"/>
  <c r="BC54" i="1"/>
  <c r="BC53" i="1"/>
  <c r="BC50" i="1"/>
  <c r="BC49" i="1"/>
  <c r="BC48" i="1"/>
  <c r="BC47" i="1"/>
  <c r="BC45" i="1"/>
  <c r="BC44" i="1"/>
  <c r="BC42" i="1"/>
  <c r="BC41" i="1"/>
  <c r="BC40" i="1"/>
  <c r="BC39" i="1"/>
  <c r="BC38" i="1"/>
  <c r="BC37" i="1"/>
  <c r="BC36" i="1"/>
  <c r="BC35" i="1"/>
  <c r="BC34" i="1"/>
  <c r="BC33" i="1"/>
  <c r="BC32" i="1"/>
  <c r="BC30" i="1"/>
  <c r="BC29" i="1"/>
  <c r="BC28" i="1"/>
  <c r="BC27" i="1"/>
  <c r="BC26" i="1"/>
  <c r="BC25" i="1"/>
  <c r="BC24" i="1"/>
  <c r="BC23" i="1"/>
  <c r="BC22" i="1"/>
  <c r="BC21" i="1"/>
  <c r="BC18" i="1"/>
  <c r="BC17" i="1"/>
  <c r="BC16" i="1"/>
  <c r="BC15" i="1"/>
  <c r="BC14" i="1"/>
  <c r="BC13" i="1"/>
  <c r="BC12" i="1"/>
  <c r="BC10" i="1"/>
  <c r="BC9" i="1"/>
  <c r="BC8" i="1"/>
  <c r="BC6" i="1"/>
  <c r="BB54" i="1"/>
  <c r="BD54" i="1" s="1"/>
  <c r="BB53" i="1"/>
  <c r="BD53" i="1" s="1"/>
  <c r="BB50" i="1"/>
  <c r="BD50" i="1" s="1"/>
  <c r="BB49" i="1"/>
  <c r="BD49" i="1" s="1"/>
  <c r="BB48" i="1"/>
  <c r="BD48" i="1" s="1"/>
  <c r="BB47" i="1"/>
  <c r="BD47" i="1" s="1"/>
  <c r="BB45" i="1"/>
  <c r="BD45" i="1" s="1"/>
  <c r="BB44" i="1"/>
  <c r="BD44" i="1" s="1"/>
  <c r="BB43" i="1"/>
  <c r="BD43" i="1" s="1"/>
  <c r="BB42" i="1"/>
  <c r="BD42" i="1" s="1"/>
  <c r="BB41" i="1"/>
  <c r="BB40" i="1"/>
  <c r="BD40" i="1" s="1"/>
  <c r="BB39" i="1"/>
  <c r="BD39" i="1" s="1"/>
  <c r="BB38" i="1"/>
  <c r="BD38" i="1" s="1"/>
  <c r="BB37" i="1"/>
  <c r="BD37" i="1" s="1"/>
  <c r="BB36" i="1"/>
  <c r="BD36" i="1" s="1"/>
  <c r="BB35" i="1"/>
  <c r="BD35" i="1" s="1"/>
  <c r="BB34" i="1"/>
  <c r="BD34" i="1" s="1"/>
  <c r="BB33" i="1"/>
  <c r="BD33" i="1" s="1"/>
  <c r="BB32" i="1"/>
  <c r="BD32" i="1" s="1"/>
  <c r="BB30" i="1"/>
  <c r="BD30" i="1" s="1"/>
  <c r="BB29" i="1"/>
  <c r="BD29" i="1" s="1"/>
  <c r="BB28" i="1"/>
  <c r="BD28" i="1" s="1"/>
  <c r="BB27" i="1"/>
  <c r="BD27" i="1" s="1"/>
  <c r="BB26" i="1"/>
  <c r="BD26" i="1" s="1"/>
  <c r="BB25" i="1"/>
  <c r="BD25" i="1" s="1"/>
  <c r="BB24" i="1"/>
  <c r="BD24" i="1" s="1"/>
  <c r="BB23" i="1"/>
  <c r="BD23" i="1" s="1"/>
  <c r="BB22" i="1"/>
  <c r="BD22" i="1" s="1"/>
  <c r="BB21" i="1"/>
  <c r="BB18" i="1"/>
  <c r="BD18" i="1" s="1"/>
  <c r="BB17" i="1"/>
  <c r="BD17" i="1" s="1"/>
  <c r="BB16" i="1"/>
  <c r="BD16" i="1" s="1"/>
  <c r="BB15" i="1"/>
  <c r="BD15" i="1" s="1"/>
  <c r="BB14" i="1"/>
  <c r="BD14" i="1" s="1"/>
  <c r="BB13" i="1"/>
  <c r="BD13" i="1" s="1"/>
  <c r="BB12" i="1"/>
  <c r="BD12" i="1" s="1"/>
  <c r="BB10" i="1"/>
  <c r="BD10" i="1" s="1"/>
  <c r="BB9" i="1"/>
  <c r="BD9" i="1" s="1"/>
  <c r="BB8" i="1"/>
  <c r="BD8" i="1" s="1"/>
  <c r="BB6" i="1"/>
  <c r="AZ54" i="1"/>
  <c r="AZ53" i="1"/>
  <c r="AZ50" i="1"/>
  <c r="AZ49" i="1"/>
  <c r="AZ48" i="1"/>
  <c r="AZ47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0" i="1"/>
  <c r="AZ29" i="1"/>
  <c r="AZ28" i="1"/>
  <c r="AZ27" i="1"/>
  <c r="AZ26" i="1"/>
  <c r="AZ25" i="1"/>
  <c r="AZ24" i="1"/>
  <c r="AZ23" i="1"/>
  <c r="AZ22" i="1"/>
  <c r="AZ21" i="1"/>
  <c r="AZ18" i="1"/>
  <c r="AZ17" i="1"/>
  <c r="AZ16" i="1"/>
  <c r="AZ15" i="1"/>
  <c r="AZ14" i="1"/>
  <c r="AZ13" i="1"/>
  <c r="AZ12" i="1"/>
  <c r="AZ10" i="1"/>
  <c r="AZ9" i="1"/>
  <c r="AZ8" i="1"/>
  <c r="AZ6" i="1"/>
  <c r="AY6" i="1"/>
  <c r="AY8" i="1"/>
  <c r="AY9" i="1"/>
  <c r="BA9" i="1" s="1"/>
  <c r="AY10" i="1"/>
  <c r="AY12" i="1"/>
  <c r="BA12" i="1" s="1"/>
  <c r="AY13" i="1"/>
  <c r="AY14" i="1"/>
  <c r="BA14" i="1" s="1"/>
  <c r="AY15" i="1"/>
  <c r="AY16" i="1"/>
  <c r="BA16" i="1" s="1"/>
  <c r="AY17" i="1"/>
  <c r="AY18" i="1"/>
  <c r="BA18" i="1" s="1"/>
  <c r="AY21" i="1"/>
  <c r="AY22" i="1"/>
  <c r="BA22" i="1" s="1"/>
  <c r="AY23" i="1"/>
  <c r="AY24" i="1"/>
  <c r="BA24" i="1" s="1"/>
  <c r="AY25" i="1"/>
  <c r="AY26" i="1"/>
  <c r="BA26" i="1" s="1"/>
  <c r="AY27" i="1"/>
  <c r="AY28" i="1"/>
  <c r="BA28" i="1" s="1"/>
  <c r="AY29" i="1"/>
  <c r="AY30" i="1"/>
  <c r="BA30" i="1" s="1"/>
  <c r="AY32" i="1"/>
  <c r="AY33" i="1"/>
  <c r="BA33" i="1" s="1"/>
  <c r="AY34" i="1"/>
  <c r="AY35" i="1"/>
  <c r="BA35" i="1" s="1"/>
  <c r="AY36" i="1"/>
  <c r="AY37" i="1"/>
  <c r="BA37" i="1" s="1"/>
  <c r="AY38" i="1"/>
  <c r="AY39" i="1"/>
  <c r="BA39" i="1" s="1"/>
  <c r="AY40" i="1"/>
  <c r="AY41" i="1"/>
  <c r="BA41" i="1" s="1"/>
  <c r="AY42" i="1"/>
  <c r="AY43" i="1"/>
  <c r="BA43" i="1" s="1"/>
  <c r="AY44" i="1"/>
  <c r="AY45" i="1"/>
  <c r="BA45" i="1" s="1"/>
  <c r="AY47" i="1"/>
  <c r="AY48" i="1"/>
  <c r="BA48" i="1" s="1"/>
  <c r="AY49" i="1"/>
  <c r="AY50" i="1"/>
  <c r="BA50" i="1" s="1"/>
  <c r="AY53" i="1"/>
  <c r="AY54" i="1"/>
  <c r="BA54" i="1" s="1"/>
  <c r="BA6" i="1" l="1"/>
  <c r="AY4" i="1"/>
  <c r="BA53" i="1"/>
  <c r="BA47" i="1"/>
  <c r="BA42" i="1"/>
  <c r="BA38" i="1"/>
  <c r="BA34" i="1"/>
  <c r="BA29" i="1"/>
  <c r="BA25" i="1"/>
  <c r="BA15" i="1"/>
  <c r="BA10" i="1"/>
  <c r="AZ4" i="1"/>
  <c r="BD6" i="1"/>
  <c r="BB4" i="1"/>
  <c r="BA49" i="1"/>
  <c r="BA44" i="1"/>
  <c r="BA40" i="1"/>
  <c r="BA36" i="1"/>
  <c r="BA32" i="1"/>
  <c r="BA27" i="1"/>
  <c r="BA23" i="1"/>
  <c r="BA17" i="1"/>
  <c r="BA13" i="1"/>
  <c r="BA8" i="1"/>
  <c r="BC4" i="1"/>
  <c r="BG6" i="1"/>
  <c r="BE4" i="1"/>
  <c r="BD41" i="1"/>
  <c r="BG8" i="1"/>
  <c r="BG13" i="1"/>
  <c r="BG17" i="1"/>
  <c r="BG23" i="1"/>
  <c r="BG27" i="1"/>
  <c r="BG32" i="1"/>
  <c r="BG36" i="1"/>
  <c r="BG40" i="1"/>
  <c r="BF4" i="1"/>
  <c r="BG21" i="1"/>
  <c r="BD21" i="1"/>
  <c r="BA21" i="1"/>
  <c r="BG4" i="1" l="1"/>
  <c r="BD4" i="1"/>
  <c r="BA4" i="1"/>
  <c r="C2" i="2"/>
  <c r="C4" i="2" s="1"/>
  <c r="E16" i="7"/>
  <c r="D16" i="7"/>
  <c r="C16" i="7"/>
  <c r="E15" i="7"/>
  <c r="D15" i="7"/>
  <c r="C15" i="7"/>
  <c r="E14" i="7"/>
  <c r="D14" i="7"/>
  <c r="C14" i="7"/>
  <c r="E13" i="7"/>
  <c r="D13" i="7"/>
  <c r="C13" i="7"/>
  <c r="E12" i="7"/>
  <c r="D12" i="7"/>
  <c r="C12" i="7"/>
  <c r="E11" i="7"/>
  <c r="D11" i="7"/>
  <c r="C11" i="7"/>
  <c r="E10" i="7"/>
  <c r="D10" i="7"/>
  <c r="C10" i="7"/>
  <c r="E9" i="7"/>
  <c r="D9" i="7"/>
  <c r="C9" i="7"/>
  <c r="E8" i="7"/>
  <c r="D8" i="7"/>
  <c r="C8" i="7"/>
  <c r="E7" i="7"/>
  <c r="D7" i="7"/>
  <c r="C7" i="7"/>
  <c r="C28" i="2" l="1"/>
  <c r="C5" i="2"/>
  <c r="G31" i="2"/>
  <c r="E31" i="2"/>
  <c r="C31" i="2"/>
  <c r="G34" i="2"/>
  <c r="E34" i="2"/>
  <c r="C34" i="2"/>
  <c r="C32" i="2"/>
  <c r="G33" i="2"/>
  <c r="E33" i="2"/>
  <c r="C33" i="2"/>
  <c r="L5" i="2"/>
  <c r="G32" i="2"/>
  <c r="E32" i="2"/>
  <c r="AA7" i="6"/>
  <c r="AB7" i="6"/>
  <c r="AD7" i="6"/>
  <c r="AE7" i="6"/>
  <c r="AG7" i="6"/>
  <c r="AH7" i="6"/>
  <c r="AM7" i="6"/>
  <c r="AN7" i="6"/>
  <c r="AP7" i="6"/>
  <c r="AQ7" i="6"/>
  <c r="AS7" i="6"/>
  <c r="AU7" i="6" s="1"/>
  <c r="AT7" i="6"/>
  <c r="AA8" i="6"/>
  <c r="AB8" i="6"/>
  <c r="AD8" i="6"/>
  <c r="AE8" i="6"/>
  <c r="AG8" i="6"/>
  <c r="AH8" i="6"/>
  <c r="AM8" i="6"/>
  <c r="AN8" i="6"/>
  <c r="AP8" i="6"/>
  <c r="AQ8" i="6"/>
  <c r="AS8" i="6"/>
  <c r="AT8" i="6"/>
  <c r="AA9" i="6"/>
  <c r="AB9" i="6"/>
  <c r="AD9" i="6"/>
  <c r="AE9" i="6"/>
  <c r="AG9" i="6"/>
  <c r="AH9" i="6"/>
  <c r="AM9" i="6"/>
  <c r="AN9" i="6"/>
  <c r="AP9" i="6"/>
  <c r="AQ9" i="6"/>
  <c r="AS9" i="6"/>
  <c r="AT9" i="6"/>
  <c r="AA10" i="6"/>
  <c r="AB10" i="6"/>
  <c r="AD10" i="6"/>
  <c r="AE10" i="6"/>
  <c r="AG10" i="6"/>
  <c r="AI10" i="6" s="1"/>
  <c r="AH10" i="6"/>
  <c r="AM10" i="6"/>
  <c r="AN10" i="6"/>
  <c r="AP10" i="6"/>
  <c r="AQ10" i="6"/>
  <c r="AS10" i="6"/>
  <c r="AT10" i="6"/>
  <c r="AA11" i="6"/>
  <c r="AB11" i="6"/>
  <c r="AD11" i="6"/>
  <c r="AE11" i="6"/>
  <c r="AG11" i="6"/>
  <c r="AI11" i="6" s="1"/>
  <c r="AH11" i="6"/>
  <c r="AM11" i="6"/>
  <c r="AN11" i="6"/>
  <c r="AP11" i="6"/>
  <c r="AQ11" i="6"/>
  <c r="AS11" i="6"/>
  <c r="AT11" i="6"/>
  <c r="AA12" i="6"/>
  <c r="AB12" i="6"/>
  <c r="AD12" i="6"/>
  <c r="AE12" i="6"/>
  <c r="AG12" i="6"/>
  <c r="AH12" i="6"/>
  <c r="AM12" i="6"/>
  <c r="AN12" i="6"/>
  <c r="AP12" i="6"/>
  <c r="AQ12" i="6"/>
  <c r="AS12" i="6"/>
  <c r="AT12" i="6"/>
  <c r="AA13" i="6"/>
  <c r="AB13" i="6"/>
  <c r="AD13" i="6"/>
  <c r="AE13" i="6"/>
  <c r="AG13" i="6"/>
  <c r="AH13" i="6"/>
  <c r="AM13" i="6"/>
  <c r="AN13" i="6"/>
  <c r="AP13" i="6"/>
  <c r="AQ13" i="6"/>
  <c r="AS13" i="6"/>
  <c r="AT13" i="6"/>
  <c r="AA14" i="6"/>
  <c r="AB14" i="6"/>
  <c r="AD14" i="6"/>
  <c r="AE14" i="6"/>
  <c r="AG14" i="6"/>
  <c r="AI14" i="6" s="1"/>
  <c r="AH14" i="6"/>
  <c r="AM14" i="6"/>
  <c r="AN14" i="6"/>
  <c r="AP14" i="6"/>
  <c r="AQ14" i="6"/>
  <c r="AS14" i="6"/>
  <c r="AT14" i="6"/>
  <c r="AA15" i="6"/>
  <c r="AB15" i="6"/>
  <c r="AD15" i="6"/>
  <c r="AE15" i="6"/>
  <c r="AG15" i="6"/>
  <c r="AI15" i="6" s="1"/>
  <c r="AH15" i="6"/>
  <c r="AM15" i="6"/>
  <c r="AN15" i="6"/>
  <c r="AP15" i="6"/>
  <c r="AQ15" i="6"/>
  <c r="AS15" i="6"/>
  <c r="AT15" i="6"/>
  <c r="AA16" i="6"/>
  <c r="AB16" i="6"/>
  <c r="AD16" i="6"/>
  <c r="AE16" i="6"/>
  <c r="AG16" i="6"/>
  <c r="AI16" i="6" s="1"/>
  <c r="AH16" i="6"/>
  <c r="AM16" i="6"/>
  <c r="AN16" i="6"/>
  <c r="AP16" i="6"/>
  <c r="AQ16" i="6"/>
  <c r="AS16" i="6"/>
  <c r="AT16" i="6"/>
  <c r="AA17" i="6"/>
  <c r="AB17" i="6"/>
  <c r="AD17" i="6"/>
  <c r="AE17" i="6"/>
  <c r="AG17" i="6"/>
  <c r="AI17" i="6" s="1"/>
  <c r="AH17" i="6"/>
  <c r="AM17" i="6"/>
  <c r="AN17" i="6"/>
  <c r="AP17" i="6"/>
  <c r="AQ17" i="6"/>
  <c r="AS17" i="6"/>
  <c r="AT17" i="6"/>
  <c r="AA18" i="6"/>
  <c r="AB18" i="6"/>
  <c r="AD18" i="6"/>
  <c r="AE18" i="6"/>
  <c r="AG18" i="6"/>
  <c r="AI18" i="6" s="1"/>
  <c r="AH18" i="6"/>
  <c r="AM18" i="6"/>
  <c r="AN18" i="6"/>
  <c r="AP18" i="6"/>
  <c r="AQ18" i="6"/>
  <c r="AS18" i="6"/>
  <c r="AT18" i="6"/>
  <c r="AA19" i="6"/>
  <c r="AB19" i="6"/>
  <c r="AD19" i="6"/>
  <c r="AE19" i="6"/>
  <c r="AG19" i="6"/>
  <c r="AI19" i="6" s="1"/>
  <c r="AH19" i="6"/>
  <c r="AM19" i="6"/>
  <c r="AN19" i="6"/>
  <c r="AP19" i="6"/>
  <c r="AQ19" i="6"/>
  <c r="AS19" i="6"/>
  <c r="AT19" i="6"/>
  <c r="AA20" i="6"/>
  <c r="AB20" i="6"/>
  <c r="AD20" i="6"/>
  <c r="AE20" i="6"/>
  <c r="AG20" i="6"/>
  <c r="AH20" i="6"/>
  <c r="AM20" i="6"/>
  <c r="AN20" i="6"/>
  <c r="AP20" i="6"/>
  <c r="AQ20" i="6"/>
  <c r="AS20" i="6"/>
  <c r="AT20" i="6"/>
  <c r="AA21" i="6"/>
  <c r="AB21" i="6"/>
  <c r="AD21" i="6"/>
  <c r="AE21" i="6"/>
  <c r="AG21" i="6"/>
  <c r="AH21" i="6"/>
  <c r="AM21" i="6"/>
  <c r="AN21" i="6"/>
  <c r="AP21" i="6"/>
  <c r="AQ21" i="6"/>
  <c r="AS21" i="6"/>
  <c r="AT21" i="6"/>
  <c r="AA22" i="6"/>
  <c r="AB22" i="6"/>
  <c r="AD22" i="6"/>
  <c r="AE22" i="6"/>
  <c r="AG22" i="6"/>
  <c r="AH22" i="6"/>
  <c r="AM22" i="6"/>
  <c r="AN22" i="6"/>
  <c r="AP22" i="6"/>
  <c r="AQ22" i="6"/>
  <c r="AS22" i="6"/>
  <c r="AT22" i="6"/>
  <c r="AA23" i="6"/>
  <c r="AB23" i="6"/>
  <c r="AD23" i="6"/>
  <c r="AE23" i="6"/>
  <c r="AG23" i="6"/>
  <c r="AH23" i="6"/>
  <c r="AM23" i="6"/>
  <c r="AN23" i="6"/>
  <c r="AP23" i="6"/>
  <c r="AQ23" i="6"/>
  <c r="AS23" i="6"/>
  <c r="AT23" i="6"/>
  <c r="AA24" i="6"/>
  <c r="AB24" i="6"/>
  <c r="AD24" i="6"/>
  <c r="AE24" i="6"/>
  <c r="AG24" i="6"/>
  <c r="AH24" i="6"/>
  <c r="AM24" i="6"/>
  <c r="AN24" i="6"/>
  <c r="AP24" i="6"/>
  <c r="AQ24" i="6"/>
  <c r="AS24" i="6"/>
  <c r="AT24" i="6"/>
  <c r="AA25" i="6"/>
  <c r="AB25" i="6"/>
  <c r="AD25" i="6"/>
  <c r="AE25" i="6"/>
  <c r="AG25" i="6"/>
  <c r="AH25" i="6"/>
  <c r="AM25" i="6"/>
  <c r="AN25" i="6"/>
  <c r="AP25" i="6"/>
  <c r="AJ25" i="6" s="1"/>
  <c r="AQ25" i="6"/>
  <c r="AS25" i="6"/>
  <c r="AT25" i="6"/>
  <c r="AA26" i="6"/>
  <c r="AC26" i="6" s="1"/>
  <c r="AB26" i="6"/>
  <c r="AD26" i="6"/>
  <c r="AE26" i="6"/>
  <c r="AF26" i="6" s="1"/>
  <c r="AG26" i="6"/>
  <c r="AH26" i="6"/>
  <c r="AM26" i="6"/>
  <c r="AN26" i="6"/>
  <c r="AP26" i="6"/>
  <c r="AQ26" i="6"/>
  <c r="AS26" i="6"/>
  <c r="AT26" i="6"/>
  <c r="AA27" i="6"/>
  <c r="AB27" i="6"/>
  <c r="AD27" i="6"/>
  <c r="AE27" i="6"/>
  <c r="AG27" i="6"/>
  <c r="AH27" i="6"/>
  <c r="AM27" i="6"/>
  <c r="AN27" i="6"/>
  <c r="AP27" i="6"/>
  <c r="AQ27" i="6"/>
  <c r="AS27" i="6"/>
  <c r="AT27" i="6"/>
  <c r="AA28" i="6"/>
  <c r="AB28" i="6"/>
  <c r="AD28" i="6"/>
  <c r="AE28" i="6"/>
  <c r="AG28" i="6"/>
  <c r="AH28" i="6"/>
  <c r="AM28" i="6"/>
  <c r="AN28" i="6"/>
  <c r="AP28" i="6"/>
  <c r="AQ28" i="6"/>
  <c r="AS28" i="6"/>
  <c r="AT28" i="6"/>
  <c r="AA29" i="6"/>
  <c r="AB29" i="6"/>
  <c r="AD29" i="6"/>
  <c r="AE29" i="6"/>
  <c r="AG29" i="6"/>
  <c r="AH29" i="6"/>
  <c r="AM29" i="6"/>
  <c r="AN29" i="6"/>
  <c r="AP29" i="6"/>
  <c r="AQ29" i="6"/>
  <c r="AS29" i="6"/>
  <c r="AT29" i="6"/>
  <c r="AA30" i="6"/>
  <c r="AB30" i="6"/>
  <c r="AD30" i="6"/>
  <c r="AE30" i="6"/>
  <c r="AG30" i="6"/>
  <c r="AH30" i="6"/>
  <c r="AM30" i="6"/>
  <c r="AN30" i="6"/>
  <c r="AP30" i="6"/>
  <c r="AQ30" i="6"/>
  <c r="AS30" i="6"/>
  <c r="AT30" i="6"/>
  <c r="AA31" i="6"/>
  <c r="AB31" i="6"/>
  <c r="AD31" i="6"/>
  <c r="AE31" i="6"/>
  <c r="AG31" i="6"/>
  <c r="AH31" i="6"/>
  <c r="AM31" i="6"/>
  <c r="AN31" i="6"/>
  <c r="AP31" i="6"/>
  <c r="AQ31" i="6"/>
  <c r="AS31" i="6"/>
  <c r="AT31" i="6"/>
  <c r="AA32" i="6"/>
  <c r="AB32" i="6"/>
  <c r="AD32" i="6"/>
  <c r="AF32" i="6" s="1"/>
  <c r="AE32" i="6"/>
  <c r="AG32" i="6"/>
  <c r="AH32" i="6"/>
  <c r="AM32" i="6"/>
  <c r="AN32" i="6"/>
  <c r="AP32" i="6"/>
  <c r="AQ32" i="6"/>
  <c r="AS32" i="6"/>
  <c r="AT32" i="6"/>
  <c r="AA33" i="6"/>
  <c r="AB33" i="6"/>
  <c r="AD33" i="6"/>
  <c r="AE33" i="6"/>
  <c r="AG33" i="6"/>
  <c r="AI33" i="6" s="1"/>
  <c r="AH33" i="6"/>
  <c r="AM33" i="6"/>
  <c r="AN33" i="6"/>
  <c r="AP33" i="6"/>
  <c r="AQ33" i="6"/>
  <c r="AS33" i="6"/>
  <c r="AT33" i="6"/>
  <c r="AA34" i="6"/>
  <c r="AB34" i="6"/>
  <c r="AD34" i="6"/>
  <c r="AE34" i="6"/>
  <c r="AG34" i="6"/>
  <c r="AH34" i="6"/>
  <c r="AM34" i="6"/>
  <c r="AN34" i="6"/>
  <c r="AP34" i="6"/>
  <c r="AQ34" i="6"/>
  <c r="AS34" i="6"/>
  <c r="AT34" i="6"/>
  <c r="AA35" i="6"/>
  <c r="AB35" i="6"/>
  <c r="AD35" i="6"/>
  <c r="AE35" i="6"/>
  <c r="AG35" i="6"/>
  <c r="AH35" i="6"/>
  <c r="AM35" i="6"/>
  <c r="AN35" i="6"/>
  <c r="AP35" i="6"/>
  <c r="AQ35" i="6"/>
  <c r="AS35" i="6"/>
  <c r="AT35" i="6"/>
  <c r="AA36" i="6"/>
  <c r="AB36" i="6"/>
  <c r="AD36" i="6"/>
  <c r="AE36" i="6"/>
  <c r="AG36" i="6"/>
  <c r="AH36" i="6"/>
  <c r="AM36" i="6"/>
  <c r="AN36" i="6"/>
  <c r="AP36" i="6"/>
  <c r="AQ36" i="6"/>
  <c r="AS36" i="6"/>
  <c r="AT36" i="6"/>
  <c r="AA37" i="6"/>
  <c r="AB37" i="6"/>
  <c r="AD37" i="6"/>
  <c r="AE37" i="6"/>
  <c r="AG37" i="6"/>
  <c r="AH37" i="6"/>
  <c r="AM37" i="6"/>
  <c r="AN37" i="6"/>
  <c r="AP37" i="6"/>
  <c r="AQ37" i="6"/>
  <c r="AS37" i="6"/>
  <c r="AT37" i="6"/>
  <c r="AA38" i="6"/>
  <c r="AB38" i="6"/>
  <c r="AD38" i="6"/>
  <c r="AE38" i="6"/>
  <c r="AG38" i="6"/>
  <c r="AH38" i="6"/>
  <c r="AM38" i="6"/>
  <c r="AN38" i="6"/>
  <c r="AP38" i="6"/>
  <c r="AQ38" i="6"/>
  <c r="AS38" i="6"/>
  <c r="AT38" i="6"/>
  <c r="AA39" i="6"/>
  <c r="AB39" i="6"/>
  <c r="AD39" i="6"/>
  <c r="AE39" i="6"/>
  <c r="AG39" i="6"/>
  <c r="AH39" i="6"/>
  <c r="AM39" i="6"/>
  <c r="AN39" i="6"/>
  <c r="AP39" i="6"/>
  <c r="AQ39" i="6"/>
  <c r="AS39" i="6"/>
  <c r="AT39" i="6"/>
  <c r="AA40" i="6"/>
  <c r="AB40" i="6"/>
  <c r="AD40" i="6"/>
  <c r="AE40" i="6"/>
  <c r="AG40" i="6"/>
  <c r="AH40" i="6"/>
  <c r="AM40" i="6"/>
  <c r="AN40" i="6"/>
  <c r="AP40" i="6"/>
  <c r="AQ40" i="6"/>
  <c r="AS40" i="6"/>
  <c r="AT40" i="6"/>
  <c r="AA41" i="6"/>
  <c r="AB41" i="6"/>
  <c r="AD41" i="6"/>
  <c r="AE41" i="6"/>
  <c r="AG41" i="6"/>
  <c r="AH41" i="6"/>
  <c r="AM41" i="6"/>
  <c r="AN41" i="6"/>
  <c r="AP41" i="6"/>
  <c r="AQ41" i="6"/>
  <c r="AS41" i="6"/>
  <c r="AT41" i="6"/>
  <c r="AA42" i="6"/>
  <c r="AB42" i="6"/>
  <c r="AD42" i="6"/>
  <c r="AE42" i="6"/>
  <c r="AG42" i="6"/>
  <c r="AH42" i="6"/>
  <c r="AM42" i="6"/>
  <c r="AN42" i="6"/>
  <c r="AP42" i="6"/>
  <c r="AQ42" i="6"/>
  <c r="AS42" i="6"/>
  <c r="AT42" i="6"/>
  <c r="AA43" i="6"/>
  <c r="AB43" i="6"/>
  <c r="AD43" i="6"/>
  <c r="AE43" i="6"/>
  <c r="AG43" i="6"/>
  <c r="AH43" i="6"/>
  <c r="AM43" i="6"/>
  <c r="AN43" i="6"/>
  <c r="AP43" i="6"/>
  <c r="AQ43" i="6"/>
  <c r="AS43" i="6"/>
  <c r="AU43" i="6" s="1"/>
  <c r="AT43" i="6"/>
  <c r="AA44" i="6"/>
  <c r="AB44" i="6"/>
  <c r="AD44" i="6"/>
  <c r="AF44" i="6" s="1"/>
  <c r="AE44" i="6"/>
  <c r="AG44" i="6"/>
  <c r="AH44" i="6"/>
  <c r="AM44" i="6"/>
  <c r="AO44" i="6" s="1"/>
  <c r="AN44" i="6"/>
  <c r="AP44" i="6"/>
  <c r="AQ44" i="6"/>
  <c r="AS44" i="6"/>
  <c r="AU44" i="6" s="1"/>
  <c r="AT44" i="6"/>
  <c r="AA45" i="6"/>
  <c r="AB45" i="6"/>
  <c r="AD45" i="6"/>
  <c r="AE45" i="6"/>
  <c r="AG45" i="6"/>
  <c r="AH45" i="6"/>
  <c r="AM45" i="6"/>
  <c r="AN45" i="6"/>
  <c r="AP45" i="6"/>
  <c r="AQ45" i="6"/>
  <c r="AS45" i="6"/>
  <c r="AU45" i="6" s="1"/>
  <c r="AT45" i="6"/>
  <c r="AA46" i="6"/>
  <c r="AB46" i="6"/>
  <c r="AD46" i="6"/>
  <c r="AE46" i="6"/>
  <c r="AG46" i="6"/>
  <c r="AH46" i="6"/>
  <c r="AM46" i="6"/>
  <c r="AO46" i="6" s="1"/>
  <c r="AN46" i="6"/>
  <c r="AP46" i="6"/>
  <c r="AQ46" i="6"/>
  <c r="AS46" i="6"/>
  <c r="AU46" i="6" s="1"/>
  <c r="AT46" i="6"/>
  <c r="AA47" i="6"/>
  <c r="AB47" i="6"/>
  <c r="AD47" i="6"/>
  <c r="AE47" i="6"/>
  <c r="AG47" i="6"/>
  <c r="AH47" i="6"/>
  <c r="AM47" i="6"/>
  <c r="AN47" i="6"/>
  <c r="AP47" i="6"/>
  <c r="AQ47" i="6"/>
  <c r="AS47" i="6"/>
  <c r="AU47" i="6" s="1"/>
  <c r="AT47" i="6"/>
  <c r="AA48" i="6"/>
  <c r="AB48" i="6"/>
  <c r="AD48" i="6"/>
  <c r="AE48" i="6"/>
  <c r="AG48" i="6"/>
  <c r="AH48" i="6"/>
  <c r="AM48" i="6"/>
  <c r="AN48" i="6"/>
  <c r="AP48" i="6"/>
  <c r="AQ48" i="6"/>
  <c r="AS48" i="6"/>
  <c r="AT48" i="6"/>
  <c r="AA49" i="6"/>
  <c r="AB49" i="6"/>
  <c r="AD49" i="6"/>
  <c r="AE49" i="6"/>
  <c r="AG49" i="6"/>
  <c r="AH49" i="6"/>
  <c r="AM49" i="6"/>
  <c r="AN49" i="6"/>
  <c r="AP49" i="6"/>
  <c r="AQ49" i="6"/>
  <c r="AS49" i="6"/>
  <c r="AT49" i="6"/>
  <c r="AU49" i="6"/>
  <c r="AA50" i="6"/>
  <c r="AB50" i="6"/>
  <c r="AD50" i="6"/>
  <c r="AE50" i="6"/>
  <c r="AG50" i="6"/>
  <c r="AH50" i="6"/>
  <c r="AM50" i="6"/>
  <c r="AN50" i="6"/>
  <c r="AO50" i="6" s="1"/>
  <c r="AP50" i="6"/>
  <c r="AQ50" i="6"/>
  <c r="AS50" i="6"/>
  <c r="AT50" i="6"/>
  <c r="AA51" i="6"/>
  <c r="AB51" i="6"/>
  <c r="AD51" i="6"/>
  <c r="AE51" i="6"/>
  <c r="AG51" i="6"/>
  <c r="AH51" i="6"/>
  <c r="AM51" i="6"/>
  <c r="AN51" i="6"/>
  <c r="AO51" i="6" s="1"/>
  <c r="AP51" i="6"/>
  <c r="AQ51" i="6"/>
  <c r="AS51" i="6"/>
  <c r="AT51" i="6"/>
  <c r="AA52" i="6"/>
  <c r="AB52" i="6"/>
  <c r="AD52" i="6"/>
  <c r="AE52" i="6"/>
  <c r="AG52" i="6"/>
  <c r="AH52" i="6"/>
  <c r="AM52" i="6"/>
  <c r="AN52" i="6"/>
  <c r="AP52" i="6"/>
  <c r="AQ52" i="6"/>
  <c r="AS52" i="6"/>
  <c r="AT52" i="6"/>
  <c r="AA53" i="6"/>
  <c r="AB53" i="6"/>
  <c r="AD53" i="6"/>
  <c r="AE53" i="6"/>
  <c r="AG53" i="6"/>
  <c r="AH53" i="6"/>
  <c r="AM53" i="6"/>
  <c r="AN53" i="6"/>
  <c r="AP53" i="6"/>
  <c r="AQ53" i="6"/>
  <c r="AS53" i="6"/>
  <c r="AT53" i="6"/>
  <c r="AA54" i="6"/>
  <c r="AB54" i="6"/>
  <c r="AD54" i="6"/>
  <c r="AE54" i="6"/>
  <c r="AG54" i="6"/>
  <c r="AH54" i="6"/>
  <c r="AM54" i="6"/>
  <c r="AN54" i="6"/>
  <c r="AP54" i="6"/>
  <c r="AQ54" i="6"/>
  <c r="AS54" i="6"/>
  <c r="AT54" i="6"/>
  <c r="AA55" i="6"/>
  <c r="AB55" i="6"/>
  <c r="AD55" i="6"/>
  <c r="AE55" i="6"/>
  <c r="AG55" i="6"/>
  <c r="AH55" i="6"/>
  <c r="AM55" i="6"/>
  <c r="AN55" i="6"/>
  <c r="AP55" i="6"/>
  <c r="AQ55" i="6"/>
  <c r="AS55" i="6"/>
  <c r="AT55" i="6"/>
  <c r="CQ55" i="6"/>
  <c r="CN55" i="6"/>
  <c r="CK55" i="6"/>
  <c r="CH55" i="6"/>
  <c r="CG55" i="6"/>
  <c r="CF55" i="6"/>
  <c r="CE55" i="6"/>
  <c r="CB55" i="6"/>
  <c r="BY55" i="6"/>
  <c r="BU55" i="6"/>
  <c r="BT55" i="6"/>
  <c r="BS55" i="6"/>
  <c r="BP55" i="6"/>
  <c r="BM55" i="6"/>
  <c r="BI55" i="6"/>
  <c r="BH55" i="6"/>
  <c r="BJ55" i="6" s="1"/>
  <c r="BG55" i="6"/>
  <c r="BD55" i="6"/>
  <c r="BA55" i="6"/>
  <c r="AW55" i="6"/>
  <c r="AV55" i="6"/>
  <c r="N55" i="6"/>
  <c r="K55" i="6"/>
  <c r="H55" i="6"/>
  <c r="D55" i="6"/>
  <c r="C55" i="6"/>
  <c r="CQ54" i="6"/>
  <c r="CN54" i="6"/>
  <c r="CK54" i="6"/>
  <c r="CG54" i="6"/>
  <c r="CF54" i="6"/>
  <c r="CE54" i="6"/>
  <c r="CB54" i="6"/>
  <c r="BY54" i="6"/>
  <c r="BU54" i="6"/>
  <c r="BT54" i="6"/>
  <c r="BV54" i="6" s="1"/>
  <c r="BS54" i="6"/>
  <c r="BP54" i="6"/>
  <c r="BM54" i="6"/>
  <c r="BI54" i="6"/>
  <c r="BH54" i="6"/>
  <c r="BG54" i="6"/>
  <c r="BD54" i="6"/>
  <c r="BA54" i="6"/>
  <c r="AW54" i="6"/>
  <c r="AV54" i="6"/>
  <c r="AX54" i="6" s="1"/>
  <c r="N54" i="6"/>
  <c r="K54" i="6"/>
  <c r="H54" i="6"/>
  <c r="D54" i="6"/>
  <c r="C54" i="6"/>
  <c r="CQ53" i="6"/>
  <c r="CN53" i="6"/>
  <c r="CK53" i="6"/>
  <c r="CG53" i="6"/>
  <c r="CF53" i="6"/>
  <c r="CE53" i="6"/>
  <c r="CB53" i="6"/>
  <c r="BY53" i="6"/>
  <c r="BU53" i="6"/>
  <c r="BT53" i="6"/>
  <c r="BS53" i="6"/>
  <c r="BP53" i="6"/>
  <c r="BM53" i="6"/>
  <c r="BI53" i="6"/>
  <c r="BH53" i="6"/>
  <c r="BJ53" i="6" s="1"/>
  <c r="BG53" i="6"/>
  <c r="BD53" i="6"/>
  <c r="BA53" i="6"/>
  <c r="AW53" i="6"/>
  <c r="AV53" i="6"/>
  <c r="N53" i="6"/>
  <c r="K53" i="6"/>
  <c r="H53" i="6"/>
  <c r="E53" i="6"/>
  <c r="D53" i="6"/>
  <c r="C53" i="6"/>
  <c r="CQ52" i="6"/>
  <c r="CN52" i="6"/>
  <c r="CK52" i="6"/>
  <c r="CG52" i="6"/>
  <c r="CF52" i="6"/>
  <c r="CH52" i="6" s="1"/>
  <c r="CE52" i="6"/>
  <c r="CB52" i="6"/>
  <c r="BY52" i="6"/>
  <c r="BV52" i="6"/>
  <c r="BU52" i="6"/>
  <c r="BT52" i="6"/>
  <c r="BS52" i="6"/>
  <c r="BP52" i="6"/>
  <c r="BM52" i="6"/>
  <c r="BI52" i="6"/>
  <c r="BH52" i="6"/>
  <c r="BG52" i="6"/>
  <c r="BD52" i="6"/>
  <c r="BA52" i="6"/>
  <c r="AW52" i="6"/>
  <c r="AV52" i="6"/>
  <c r="AX52" i="6" s="1"/>
  <c r="N52" i="6"/>
  <c r="K52" i="6"/>
  <c r="H52" i="6"/>
  <c r="D52" i="6"/>
  <c r="C52" i="6"/>
  <c r="CQ51" i="6"/>
  <c r="CN51" i="6"/>
  <c r="CK51" i="6"/>
  <c r="CG51" i="6"/>
  <c r="CF51" i="6"/>
  <c r="CE51" i="6"/>
  <c r="CB51" i="6"/>
  <c r="BY51" i="6"/>
  <c r="BU51" i="6"/>
  <c r="BT51" i="6"/>
  <c r="BS51" i="6"/>
  <c r="BP51" i="6"/>
  <c r="BM51" i="6"/>
  <c r="BI51" i="6"/>
  <c r="BH51" i="6"/>
  <c r="BJ51" i="6" s="1"/>
  <c r="BG51" i="6"/>
  <c r="BD51" i="6"/>
  <c r="BA51" i="6"/>
  <c r="AW51" i="6"/>
  <c r="AV51" i="6"/>
  <c r="N51" i="6"/>
  <c r="K51" i="6"/>
  <c r="H51" i="6"/>
  <c r="D51" i="6"/>
  <c r="C51" i="6"/>
  <c r="E51" i="6" s="1"/>
  <c r="CQ50" i="6"/>
  <c r="CN50" i="6"/>
  <c r="CK50" i="6"/>
  <c r="CG50" i="6"/>
  <c r="CF50" i="6"/>
  <c r="CE50" i="6"/>
  <c r="CB50" i="6"/>
  <c r="BY50" i="6"/>
  <c r="BU50" i="6"/>
  <c r="BT50" i="6"/>
  <c r="BS50" i="6"/>
  <c r="BP50" i="6"/>
  <c r="BM50" i="6"/>
  <c r="BI50" i="6"/>
  <c r="BH50" i="6"/>
  <c r="BG50" i="6"/>
  <c r="BD50" i="6"/>
  <c r="BA50" i="6"/>
  <c r="AW50" i="6"/>
  <c r="AV50" i="6"/>
  <c r="AX50" i="6" s="1"/>
  <c r="N50" i="6"/>
  <c r="K50" i="6"/>
  <c r="H50" i="6"/>
  <c r="D50" i="6"/>
  <c r="C50" i="6"/>
  <c r="CQ49" i="6"/>
  <c r="CN49" i="6"/>
  <c r="CK49" i="6"/>
  <c r="CH49" i="6"/>
  <c r="CG49" i="6"/>
  <c r="CF49" i="6"/>
  <c r="CE49" i="6"/>
  <c r="CB49" i="6"/>
  <c r="BY49" i="6"/>
  <c r="BU49" i="6"/>
  <c r="BT49" i="6"/>
  <c r="BV49" i="6" s="1"/>
  <c r="BS49" i="6"/>
  <c r="BP49" i="6"/>
  <c r="BM49" i="6"/>
  <c r="BJ49" i="6"/>
  <c r="BI49" i="6"/>
  <c r="BH49" i="6"/>
  <c r="BG49" i="6"/>
  <c r="BD49" i="6"/>
  <c r="BA49" i="6"/>
  <c r="AW49" i="6"/>
  <c r="AV49" i="6"/>
  <c r="N49" i="6"/>
  <c r="K49" i="6"/>
  <c r="H49" i="6"/>
  <c r="D49" i="6"/>
  <c r="C49" i="6"/>
  <c r="E49" i="6" s="1"/>
  <c r="CQ48" i="6"/>
  <c r="CN48" i="6"/>
  <c r="CK48" i="6"/>
  <c r="CG48" i="6"/>
  <c r="CF48" i="6"/>
  <c r="CE48" i="6"/>
  <c r="CB48" i="6"/>
  <c r="BY48" i="6"/>
  <c r="BU48" i="6"/>
  <c r="BT48" i="6"/>
  <c r="BS48" i="6"/>
  <c r="BP48" i="6"/>
  <c r="BM48" i="6"/>
  <c r="BI48" i="6"/>
  <c r="BH48" i="6"/>
  <c r="BG48" i="6"/>
  <c r="BD48" i="6"/>
  <c r="BA48" i="6"/>
  <c r="AW48" i="6"/>
  <c r="AV48" i="6"/>
  <c r="AX48" i="6" s="1"/>
  <c r="N48" i="6"/>
  <c r="K48" i="6"/>
  <c r="H48" i="6"/>
  <c r="D48" i="6"/>
  <c r="C48" i="6"/>
  <c r="CQ47" i="6"/>
  <c r="CN47" i="6"/>
  <c r="CK47" i="6"/>
  <c r="CG47" i="6"/>
  <c r="CF47" i="6"/>
  <c r="CH47" i="6" s="1"/>
  <c r="CE47" i="6"/>
  <c r="CB47" i="6"/>
  <c r="BY47" i="6"/>
  <c r="BU47" i="6"/>
  <c r="BT47" i="6"/>
  <c r="BS47" i="6"/>
  <c r="BP47" i="6"/>
  <c r="BM47" i="6"/>
  <c r="BI47" i="6"/>
  <c r="BH47" i="6"/>
  <c r="BG47" i="6"/>
  <c r="BD47" i="6"/>
  <c r="BA47" i="6"/>
  <c r="AW47" i="6"/>
  <c r="AV47" i="6"/>
  <c r="N47" i="6"/>
  <c r="K47" i="6"/>
  <c r="H47" i="6"/>
  <c r="D47" i="6"/>
  <c r="C47" i="6"/>
  <c r="E47" i="6" s="1"/>
  <c r="CQ46" i="6"/>
  <c r="CN46" i="6"/>
  <c r="CK46" i="6"/>
  <c r="CG46" i="6"/>
  <c r="CF46" i="6"/>
  <c r="CE46" i="6"/>
  <c r="CB46" i="6"/>
  <c r="BY46" i="6"/>
  <c r="BV46" i="6"/>
  <c r="BU46" i="6"/>
  <c r="BT46" i="6"/>
  <c r="BS46" i="6"/>
  <c r="BP46" i="6"/>
  <c r="BM46" i="6"/>
  <c r="BI46" i="6"/>
  <c r="BH46" i="6"/>
  <c r="BJ46" i="6" s="1"/>
  <c r="BG46" i="6"/>
  <c r="BD46" i="6"/>
  <c r="BA46" i="6"/>
  <c r="AX46" i="6"/>
  <c r="AW46" i="6"/>
  <c r="AV46" i="6"/>
  <c r="N46" i="6"/>
  <c r="K46" i="6"/>
  <c r="H46" i="6"/>
  <c r="D46" i="6"/>
  <c r="C46" i="6"/>
  <c r="CQ45" i="6"/>
  <c r="CN45" i="6"/>
  <c r="CK45" i="6"/>
  <c r="CG45" i="6"/>
  <c r="CF45" i="6"/>
  <c r="CH45" i="6" s="1"/>
  <c r="CE45" i="6"/>
  <c r="CB45" i="6"/>
  <c r="BY45" i="6"/>
  <c r="BU45" i="6"/>
  <c r="BT45" i="6"/>
  <c r="BS45" i="6"/>
  <c r="BP45" i="6"/>
  <c r="BM45" i="6"/>
  <c r="BI45" i="6"/>
  <c r="BH45" i="6"/>
  <c r="BG45" i="6"/>
  <c r="BD45" i="6"/>
  <c r="BA45" i="6"/>
  <c r="AW45" i="6"/>
  <c r="AV45" i="6"/>
  <c r="N45" i="6"/>
  <c r="K45" i="6"/>
  <c r="H45" i="6"/>
  <c r="D45" i="6"/>
  <c r="C45" i="6"/>
  <c r="E45" i="6" s="1"/>
  <c r="CQ44" i="6"/>
  <c r="CN44" i="6"/>
  <c r="CK44" i="6"/>
  <c r="CG44" i="6"/>
  <c r="CF44" i="6"/>
  <c r="CE44" i="6"/>
  <c r="CB44" i="6"/>
  <c r="BY44" i="6"/>
  <c r="BU44" i="6"/>
  <c r="BT44" i="6"/>
  <c r="BV44" i="6" s="1"/>
  <c r="BS44" i="6"/>
  <c r="BP44" i="6"/>
  <c r="BM44" i="6"/>
  <c r="BI44" i="6"/>
  <c r="BH44" i="6"/>
  <c r="BG44" i="6"/>
  <c r="BD44" i="6"/>
  <c r="BA44" i="6"/>
  <c r="AW44" i="6"/>
  <c r="AV44" i="6"/>
  <c r="N44" i="6"/>
  <c r="K44" i="6"/>
  <c r="H44" i="6"/>
  <c r="D44" i="6"/>
  <c r="C44" i="6"/>
  <c r="CQ43" i="6"/>
  <c r="CN43" i="6"/>
  <c r="CK43" i="6"/>
  <c r="CG43" i="6"/>
  <c r="CF43" i="6"/>
  <c r="CH43" i="6" s="1"/>
  <c r="CE43" i="6"/>
  <c r="CB43" i="6"/>
  <c r="BY43" i="6"/>
  <c r="BU43" i="6"/>
  <c r="BT43" i="6"/>
  <c r="BS43" i="6"/>
  <c r="BP43" i="6"/>
  <c r="BM43" i="6"/>
  <c r="BJ43" i="6"/>
  <c r="BI43" i="6"/>
  <c r="BH43" i="6"/>
  <c r="BG43" i="6"/>
  <c r="BD43" i="6"/>
  <c r="BA43" i="6"/>
  <c r="AW43" i="6"/>
  <c r="AV43" i="6"/>
  <c r="AX43" i="6" s="1"/>
  <c r="N43" i="6"/>
  <c r="K43" i="6"/>
  <c r="H43" i="6"/>
  <c r="E43" i="6"/>
  <c r="D43" i="6"/>
  <c r="C43" i="6"/>
  <c r="CQ42" i="6"/>
  <c r="CN42" i="6"/>
  <c r="CK42" i="6"/>
  <c r="CG42" i="6"/>
  <c r="CF42" i="6"/>
  <c r="CE42" i="6"/>
  <c r="CB42" i="6"/>
  <c r="BY42" i="6"/>
  <c r="BU42" i="6"/>
  <c r="BT42" i="6"/>
  <c r="BV42" i="6" s="1"/>
  <c r="BS42" i="6"/>
  <c r="BP42" i="6"/>
  <c r="BM42" i="6"/>
  <c r="BI42" i="6"/>
  <c r="BH42" i="6"/>
  <c r="BG42" i="6"/>
  <c r="BD42" i="6"/>
  <c r="BA42" i="6"/>
  <c r="AW42" i="6"/>
  <c r="AV42" i="6"/>
  <c r="N42" i="6"/>
  <c r="K42" i="6"/>
  <c r="H42" i="6"/>
  <c r="D42" i="6"/>
  <c r="C42" i="6"/>
  <c r="CQ41" i="6"/>
  <c r="CN41" i="6"/>
  <c r="CK41" i="6"/>
  <c r="CG41" i="6"/>
  <c r="CF41" i="6"/>
  <c r="CH41" i="6" s="1"/>
  <c r="CE41" i="6"/>
  <c r="CB41" i="6"/>
  <c r="BY41" i="6"/>
  <c r="BU41" i="6"/>
  <c r="BT41" i="6"/>
  <c r="BS41" i="6"/>
  <c r="BP41" i="6"/>
  <c r="BM41" i="6"/>
  <c r="BI41" i="6"/>
  <c r="BH41" i="6"/>
  <c r="BJ41" i="6" s="1"/>
  <c r="BG41" i="6"/>
  <c r="BD41" i="6"/>
  <c r="BA41" i="6"/>
  <c r="AW41" i="6"/>
  <c r="AV41" i="6"/>
  <c r="N41" i="6"/>
  <c r="K41" i="6"/>
  <c r="H41" i="6"/>
  <c r="D41" i="6"/>
  <c r="C41" i="6"/>
  <c r="CQ40" i="6"/>
  <c r="CN40" i="6"/>
  <c r="CK40" i="6"/>
  <c r="CG40" i="6"/>
  <c r="CF40" i="6"/>
  <c r="CE40" i="6"/>
  <c r="CB40" i="6"/>
  <c r="BY40" i="6"/>
  <c r="BU40" i="6"/>
  <c r="BT40" i="6"/>
  <c r="BV40" i="6" s="1"/>
  <c r="BS40" i="6"/>
  <c r="BP40" i="6"/>
  <c r="BM40" i="6"/>
  <c r="BI40" i="6"/>
  <c r="BH40" i="6"/>
  <c r="BG40" i="6"/>
  <c r="BD40" i="6"/>
  <c r="BA40" i="6"/>
  <c r="AX40" i="6"/>
  <c r="AW40" i="6"/>
  <c r="AV40" i="6"/>
  <c r="N40" i="6"/>
  <c r="K40" i="6"/>
  <c r="H40" i="6"/>
  <c r="D40" i="6"/>
  <c r="C40" i="6"/>
  <c r="E40" i="6" s="1"/>
  <c r="CQ39" i="6"/>
  <c r="CN39" i="6"/>
  <c r="CK39" i="6"/>
  <c r="CH39" i="6"/>
  <c r="CG39" i="6"/>
  <c r="CF39" i="6"/>
  <c r="CE39" i="6"/>
  <c r="CB39" i="6"/>
  <c r="BY39" i="6"/>
  <c r="BU39" i="6"/>
  <c r="BT39" i="6"/>
  <c r="BS39" i="6"/>
  <c r="BP39" i="6"/>
  <c r="BM39" i="6"/>
  <c r="BI39" i="6"/>
  <c r="BH39" i="6"/>
  <c r="BJ39" i="6" s="1"/>
  <c r="BG39" i="6"/>
  <c r="BD39" i="6"/>
  <c r="BA39" i="6"/>
  <c r="AW39" i="6"/>
  <c r="AV39" i="6"/>
  <c r="N39" i="6"/>
  <c r="K39" i="6"/>
  <c r="H39" i="6"/>
  <c r="D39" i="6"/>
  <c r="C39" i="6"/>
  <c r="CQ38" i="6"/>
  <c r="CN38" i="6"/>
  <c r="CK38" i="6"/>
  <c r="CG38" i="6"/>
  <c r="CF38" i="6"/>
  <c r="CE38" i="6"/>
  <c r="CB38" i="6"/>
  <c r="BY38" i="6"/>
  <c r="BU38" i="6"/>
  <c r="BT38" i="6"/>
  <c r="BV38" i="6" s="1"/>
  <c r="BS38" i="6"/>
  <c r="BP38" i="6"/>
  <c r="BM38" i="6"/>
  <c r="BI38" i="6"/>
  <c r="BH38" i="6"/>
  <c r="BG38" i="6"/>
  <c r="BD38" i="6"/>
  <c r="BA38" i="6"/>
  <c r="AW38" i="6"/>
  <c r="AV38" i="6"/>
  <c r="AX38" i="6" s="1"/>
  <c r="N38" i="6"/>
  <c r="K38" i="6"/>
  <c r="H38" i="6"/>
  <c r="D38" i="6"/>
  <c r="C38" i="6"/>
  <c r="CQ37" i="6"/>
  <c r="CN37" i="6"/>
  <c r="CK37" i="6"/>
  <c r="CG37" i="6"/>
  <c r="CF37" i="6"/>
  <c r="CE37" i="6"/>
  <c r="CB37" i="6"/>
  <c r="BY37" i="6"/>
  <c r="BU37" i="6"/>
  <c r="BT37" i="6"/>
  <c r="BS37" i="6"/>
  <c r="BP37" i="6"/>
  <c r="BM37" i="6"/>
  <c r="BI37" i="6"/>
  <c r="BH37" i="6"/>
  <c r="BJ37" i="6" s="1"/>
  <c r="BG37" i="6"/>
  <c r="BD37" i="6"/>
  <c r="BA37" i="6"/>
  <c r="AW37" i="6"/>
  <c r="AV37" i="6"/>
  <c r="N37" i="6"/>
  <c r="K37" i="6"/>
  <c r="H37" i="6"/>
  <c r="E37" i="6"/>
  <c r="D37" i="6"/>
  <c r="C37" i="6"/>
  <c r="CQ36" i="6"/>
  <c r="CN36" i="6"/>
  <c r="CK36" i="6"/>
  <c r="CG36" i="6"/>
  <c r="CF36" i="6"/>
  <c r="CH36" i="6" s="1"/>
  <c r="CE36" i="6"/>
  <c r="CB36" i="6"/>
  <c r="BY36" i="6"/>
  <c r="BV36" i="6"/>
  <c r="BU36" i="6"/>
  <c r="BT36" i="6"/>
  <c r="BS36" i="6"/>
  <c r="BP36" i="6"/>
  <c r="BM36" i="6"/>
  <c r="BI36" i="6"/>
  <c r="BH36" i="6"/>
  <c r="BG36" i="6"/>
  <c r="BD36" i="6"/>
  <c r="BA36" i="6"/>
  <c r="AW36" i="6"/>
  <c r="AV36" i="6"/>
  <c r="AX36" i="6" s="1"/>
  <c r="N36" i="6"/>
  <c r="K36" i="6"/>
  <c r="H36" i="6"/>
  <c r="D36" i="6"/>
  <c r="C36" i="6"/>
  <c r="CQ35" i="6"/>
  <c r="CN35" i="6"/>
  <c r="CK35" i="6"/>
  <c r="CG35" i="6"/>
  <c r="CF35" i="6"/>
  <c r="CE35" i="6"/>
  <c r="CB35" i="6"/>
  <c r="BY35" i="6"/>
  <c r="BU35" i="6"/>
  <c r="BT35" i="6"/>
  <c r="BS35" i="6"/>
  <c r="BP35" i="6"/>
  <c r="BM35" i="6"/>
  <c r="BI35" i="6"/>
  <c r="BH35" i="6"/>
  <c r="BJ35" i="6" s="1"/>
  <c r="BG35" i="6"/>
  <c r="BD35" i="6"/>
  <c r="BA35" i="6"/>
  <c r="AW35" i="6"/>
  <c r="AV35" i="6"/>
  <c r="N35" i="6"/>
  <c r="K35" i="6"/>
  <c r="H35" i="6"/>
  <c r="D35" i="6"/>
  <c r="C35" i="6"/>
  <c r="E35" i="6" s="1"/>
  <c r="CQ34" i="6"/>
  <c r="CN34" i="6"/>
  <c r="CK34" i="6"/>
  <c r="CG34" i="6"/>
  <c r="CF34" i="6"/>
  <c r="CE34" i="6"/>
  <c r="CB34" i="6"/>
  <c r="BY34" i="6"/>
  <c r="BU34" i="6"/>
  <c r="BT34" i="6"/>
  <c r="BS34" i="6"/>
  <c r="BP34" i="6"/>
  <c r="BM34" i="6"/>
  <c r="BI34" i="6"/>
  <c r="BH34" i="6"/>
  <c r="BG34" i="6"/>
  <c r="BD34" i="6"/>
  <c r="BA34" i="6"/>
  <c r="AW34" i="6"/>
  <c r="AV34" i="6"/>
  <c r="AX34" i="6" s="1"/>
  <c r="N34" i="6"/>
  <c r="K34" i="6"/>
  <c r="H34" i="6"/>
  <c r="D34" i="6"/>
  <c r="C34" i="6"/>
  <c r="CQ33" i="6"/>
  <c r="CN33" i="6"/>
  <c r="CK33" i="6"/>
  <c r="CH33" i="6"/>
  <c r="CG33" i="6"/>
  <c r="CF33" i="6"/>
  <c r="CE33" i="6"/>
  <c r="CB33" i="6"/>
  <c r="BY33" i="6"/>
  <c r="BU33" i="6"/>
  <c r="BT33" i="6"/>
  <c r="BV33" i="6" s="1"/>
  <c r="BS33" i="6"/>
  <c r="BP33" i="6"/>
  <c r="BM33" i="6"/>
  <c r="BJ33" i="6"/>
  <c r="BI33" i="6"/>
  <c r="BH33" i="6"/>
  <c r="BG33" i="6"/>
  <c r="BD33" i="6"/>
  <c r="BA33" i="6"/>
  <c r="AW33" i="6"/>
  <c r="AV33" i="6"/>
  <c r="N33" i="6"/>
  <c r="K33" i="6"/>
  <c r="H33" i="6"/>
  <c r="D33" i="6"/>
  <c r="C33" i="6"/>
  <c r="E33" i="6" s="1"/>
  <c r="CQ32" i="6"/>
  <c r="CN32" i="6"/>
  <c r="CK32" i="6"/>
  <c r="CG32" i="6"/>
  <c r="CF32" i="6"/>
  <c r="CE32" i="6"/>
  <c r="CB32" i="6"/>
  <c r="BY32" i="6"/>
  <c r="BU32" i="6"/>
  <c r="BT32" i="6"/>
  <c r="BS32" i="6"/>
  <c r="BP32" i="6"/>
  <c r="BM32" i="6"/>
  <c r="BI32" i="6"/>
  <c r="BH32" i="6"/>
  <c r="BG32" i="6"/>
  <c r="BD32" i="6"/>
  <c r="BA32" i="6"/>
  <c r="AW32" i="6"/>
  <c r="AV32" i="6"/>
  <c r="AX32" i="6" s="1"/>
  <c r="N32" i="6"/>
  <c r="K32" i="6"/>
  <c r="H32" i="6"/>
  <c r="D32" i="6"/>
  <c r="C32" i="6"/>
  <c r="CQ31" i="6"/>
  <c r="CN31" i="6"/>
  <c r="CK31" i="6"/>
  <c r="CG31" i="6"/>
  <c r="CF31" i="6"/>
  <c r="CH31" i="6" s="1"/>
  <c r="CE31" i="6"/>
  <c r="CB31" i="6"/>
  <c r="BY31" i="6"/>
  <c r="BU31" i="6"/>
  <c r="BT31" i="6"/>
  <c r="BS31" i="6"/>
  <c r="BP31" i="6"/>
  <c r="BM31" i="6"/>
  <c r="BI31" i="6"/>
  <c r="BH31" i="6"/>
  <c r="BG31" i="6"/>
  <c r="BD31" i="6"/>
  <c r="BA31" i="6"/>
  <c r="AW31" i="6"/>
  <c r="AV31" i="6"/>
  <c r="AX31" i="6" s="1"/>
  <c r="N31" i="6"/>
  <c r="K31" i="6"/>
  <c r="H31" i="6"/>
  <c r="D31" i="6"/>
  <c r="C31" i="6"/>
  <c r="CQ30" i="6"/>
  <c r="CN30" i="6"/>
  <c r="CK30" i="6"/>
  <c r="CG30" i="6"/>
  <c r="CF30" i="6"/>
  <c r="CE30" i="6"/>
  <c r="CB30" i="6"/>
  <c r="BY30" i="6"/>
  <c r="BU30" i="6"/>
  <c r="BT30" i="6"/>
  <c r="BS30" i="6"/>
  <c r="BP30" i="6"/>
  <c r="BM30" i="6"/>
  <c r="BI30" i="6"/>
  <c r="BH30" i="6"/>
  <c r="BJ30" i="6" s="1"/>
  <c r="BG30" i="6"/>
  <c r="BD30" i="6"/>
  <c r="BA30" i="6"/>
  <c r="AW30" i="6"/>
  <c r="AV30" i="6"/>
  <c r="N30" i="6"/>
  <c r="K30" i="6"/>
  <c r="H30" i="6"/>
  <c r="E30" i="6"/>
  <c r="D30" i="6"/>
  <c r="C30" i="6"/>
  <c r="CQ29" i="6"/>
  <c r="CN29" i="6"/>
  <c r="CK29" i="6"/>
  <c r="CG29" i="6"/>
  <c r="CF29" i="6"/>
  <c r="CH29" i="6" s="1"/>
  <c r="CE29" i="6"/>
  <c r="CB29" i="6"/>
  <c r="BY29" i="6"/>
  <c r="BV29" i="6"/>
  <c r="BU29" i="6"/>
  <c r="BT29" i="6"/>
  <c r="BS29" i="6"/>
  <c r="BP29" i="6"/>
  <c r="BM29" i="6"/>
  <c r="BI29" i="6"/>
  <c r="BH29" i="6"/>
  <c r="BG29" i="6"/>
  <c r="BD29" i="6"/>
  <c r="BA29" i="6"/>
  <c r="AW29" i="6"/>
  <c r="AV29" i="6"/>
  <c r="AX29" i="6" s="1"/>
  <c r="N29" i="6"/>
  <c r="K29" i="6"/>
  <c r="H29" i="6"/>
  <c r="D29" i="6"/>
  <c r="C29" i="6"/>
  <c r="CQ28" i="6"/>
  <c r="CN28" i="6"/>
  <c r="CK28" i="6"/>
  <c r="CG28" i="6"/>
  <c r="CF28" i="6"/>
  <c r="CE28" i="6"/>
  <c r="CB28" i="6"/>
  <c r="BY28" i="6"/>
  <c r="BU28" i="6"/>
  <c r="BT28" i="6"/>
  <c r="BS28" i="6"/>
  <c r="BP28" i="6"/>
  <c r="BM28" i="6"/>
  <c r="BI28" i="6"/>
  <c r="BH28" i="6"/>
  <c r="BJ28" i="6" s="1"/>
  <c r="BG28" i="6"/>
  <c r="BD28" i="6"/>
  <c r="BA28" i="6"/>
  <c r="AW28" i="6"/>
  <c r="AV28" i="6"/>
  <c r="N28" i="6"/>
  <c r="K28" i="6"/>
  <c r="H28" i="6"/>
  <c r="D28" i="6"/>
  <c r="C28" i="6"/>
  <c r="E28" i="6" s="1"/>
  <c r="CQ27" i="6"/>
  <c r="CN27" i="6"/>
  <c r="CK27" i="6"/>
  <c r="CG27" i="6"/>
  <c r="CF27" i="6"/>
  <c r="CE27" i="6"/>
  <c r="CB27" i="6"/>
  <c r="BY27" i="6"/>
  <c r="BU27" i="6"/>
  <c r="BT27" i="6"/>
  <c r="BS27" i="6"/>
  <c r="BP27" i="6"/>
  <c r="BM27" i="6"/>
  <c r="BI27" i="6"/>
  <c r="BH27" i="6"/>
  <c r="BG27" i="6"/>
  <c r="BD27" i="6"/>
  <c r="BA27" i="6"/>
  <c r="AW27" i="6"/>
  <c r="AV27" i="6"/>
  <c r="AX27" i="6" s="1"/>
  <c r="N27" i="6"/>
  <c r="K27" i="6"/>
  <c r="H27" i="6"/>
  <c r="D27" i="6"/>
  <c r="C27" i="6"/>
  <c r="CQ26" i="6"/>
  <c r="CN26" i="6"/>
  <c r="CK26" i="6"/>
  <c r="CH26" i="6"/>
  <c r="CG26" i="6"/>
  <c r="CF26" i="6"/>
  <c r="CE26" i="6"/>
  <c r="CB26" i="6"/>
  <c r="BY26" i="6"/>
  <c r="BU26" i="6"/>
  <c r="BT26" i="6"/>
  <c r="BV26" i="6" s="1"/>
  <c r="BS26" i="6"/>
  <c r="BP26" i="6"/>
  <c r="BM26" i="6"/>
  <c r="BJ26" i="6"/>
  <c r="BI26" i="6"/>
  <c r="BH26" i="6"/>
  <c r="BG26" i="6"/>
  <c r="BD26" i="6"/>
  <c r="BA26" i="6"/>
  <c r="AW26" i="6"/>
  <c r="AV26" i="6"/>
  <c r="N26" i="6"/>
  <c r="K26" i="6"/>
  <c r="H26" i="6"/>
  <c r="D26" i="6"/>
  <c r="C26" i="6"/>
  <c r="E26" i="6" s="1"/>
  <c r="CQ25" i="6"/>
  <c r="CN25" i="6"/>
  <c r="CK25" i="6"/>
  <c r="CG25" i="6"/>
  <c r="CF25" i="6"/>
  <c r="CE25" i="6"/>
  <c r="CB25" i="6"/>
  <c r="BY25" i="6"/>
  <c r="BU25" i="6"/>
  <c r="BT25" i="6"/>
  <c r="BS25" i="6"/>
  <c r="BP25" i="6"/>
  <c r="BM25" i="6"/>
  <c r="BI25" i="6"/>
  <c r="BH25" i="6"/>
  <c r="BG25" i="6"/>
  <c r="BD25" i="6"/>
  <c r="BA25" i="6"/>
  <c r="AW25" i="6"/>
  <c r="AV25" i="6"/>
  <c r="AX25" i="6" s="1"/>
  <c r="N25" i="6"/>
  <c r="K25" i="6"/>
  <c r="H25" i="6"/>
  <c r="D25" i="6"/>
  <c r="C25" i="6"/>
  <c r="CQ24" i="6"/>
  <c r="CN24" i="6"/>
  <c r="CK24" i="6"/>
  <c r="CG24" i="6"/>
  <c r="CF24" i="6"/>
  <c r="CH24" i="6" s="1"/>
  <c r="CE24" i="6"/>
  <c r="CB24" i="6"/>
  <c r="BY24" i="6"/>
  <c r="BU24" i="6"/>
  <c r="BT24" i="6"/>
  <c r="BS24" i="6"/>
  <c r="BP24" i="6"/>
  <c r="BM24" i="6"/>
  <c r="BI24" i="6"/>
  <c r="BH24" i="6"/>
  <c r="BG24" i="6"/>
  <c r="BD24" i="6"/>
  <c r="BA24" i="6"/>
  <c r="AW24" i="6"/>
  <c r="AV24" i="6"/>
  <c r="N24" i="6"/>
  <c r="K24" i="6"/>
  <c r="H24" i="6"/>
  <c r="D24" i="6"/>
  <c r="C24" i="6"/>
  <c r="E24" i="6" s="1"/>
  <c r="CQ23" i="6"/>
  <c r="CN23" i="6"/>
  <c r="CK23" i="6"/>
  <c r="CG23" i="6"/>
  <c r="CF23" i="6"/>
  <c r="CE23" i="6"/>
  <c r="CB23" i="6"/>
  <c r="BY23" i="6"/>
  <c r="BV23" i="6"/>
  <c r="BU23" i="6"/>
  <c r="BT23" i="6"/>
  <c r="BS23" i="6"/>
  <c r="BP23" i="6"/>
  <c r="BM23" i="6"/>
  <c r="BI23" i="6"/>
  <c r="BH23" i="6"/>
  <c r="BJ23" i="6" s="1"/>
  <c r="BG23" i="6"/>
  <c r="BD23" i="6"/>
  <c r="BA23" i="6"/>
  <c r="AX23" i="6"/>
  <c r="AW23" i="6"/>
  <c r="AV23" i="6"/>
  <c r="N23" i="6"/>
  <c r="K23" i="6"/>
  <c r="H23" i="6"/>
  <c r="D23" i="6"/>
  <c r="C23" i="6"/>
  <c r="CQ22" i="6"/>
  <c r="CN22" i="6"/>
  <c r="CK22" i="6"/>
  <c r="CG22" i="6"/>
  <c r="CF22" i="6"/>
  <c r="CH22" i="6" s="1"/>
  <c r="CE22" i="6"/>
  <c r="CB22" i="6"/>
  <c r="BY22" i="6"/>
  <c r="BU22" i="6"/>
  <c r="BT22" i="6"/>
  <c r="BS22" i="6"/>
  <c r="BP22" i="6"/>
  <c r="BM22" i="6"/>
  <c r="BI22" i="6"/>
  <c r="BH22" i="6"/>
  <c r="BG22" i="6"/>
  <c r="BD22" i="6"/>
  <c r="BA22" i="6"/>
  <c r="AW22" i="6"/>
  <c r="AV22" i="6"/>
  <c r="N22" i="6"/>
  <c r="K22" i="6"/>
  <c r="H22" i="6"/>
  <c r="D22" i="6"/>
  <c r="C22" i="6"/>
  <c r="E22" i="6" s="1"/>
  <c r="CQ21" i="6"/>
  <c r="CN21" i="6"/>
  <c r="CK21" i="6"/>
  <c r="CG21" i="6"/>
  <c r="CF21" i="6"/>
  <c r="CE21" i="6"/>
  <c r="CB21" i="6"/>
  <c r="BY21" i="6"/>
  <c r="BU21" i="6"/>
  <c r="BT21" i="6"/>
  <c r="BV21" i="6" s="1"/>
  <c r="BS21" i="6"/>
  <c r="BP21" i="6"/>
  <c r="BM21" i="6"/>
  <c r="BI21" i="6"/>
  <c r="BH21" i="6"/>
  <c r="BG21" i="6"/>
  <c r="BD21" i="6"/>
  <c r="BA21" i="6"/>
  <c r="AW21" i="6"/>
  <c r="AV21" i="6"/>
  <c r="N21" i="6"/>
  <c r="K21" i="6"/>
  <c r="H21" i="6"/>
  <c r="D21" i="6"/>
  <c r="C21" i="6"/>
  <c r="CQ20" i="6"/>
  <c r="CN20" i="6"/>
  <c r="CK20" i="6"/>
  <c r="CG20" i="6"/>
  <c r="CF20" i="6"/>
  <c r="CH20" i="6" s="1"/>
  <c r="CE20" i="6"/>
  <c r="CB20" i="6"/>
  <c r="BY20" i="6"/>
  <c r="BU20" i="6"/>
  <c r="BT20" i="6"/>
  <c r="BS20" i="6"/>
  <c r="BP20" i="6"/>
  <c r="BM20" i="6"/>
  <c r="BJ20" i="6"/>
  <c r="BI20" i="6"/>
  <c r="BH20" i="6"/>
  <c r="BG20" i="6"/>
  <c r="BD20" i="6"/>
  <c r="BA20" i="6"/>
  <c r="AW20" i="6"/>
  <c r="AV20" i="6"/>
  <c r="N20" i="6"/>
  <c r="K20" i="6"/>
  <c r="H20" i="6"/>
  <c r="E20" i="6"/>
  <c r="D20" i="6"/>
  <c r="C20" i="6"/>
  <c r="CQ19" i="6"/>
  <c r="CN19" i="6"/>
  <c r="CK19" i="6"/>
  <c r="CG19" i="6"/>
  <c r="CF19" i="6"/>
  <c r="CE19" i="6"/>
  <c r="CB19" i="6"/>
  <c r="BY19" i="6"/>
  <c r="BU19" i="6"/>
  <c r="BT19" i="6"/>
  <c r="BV19" i="6" s="1"/>
  <c r="BS19" i="6"/>
  <c r="BP19" i="6"/>
  <c r="BM19" i="6"/>
  <c r="BI19" i="6"/>
  <c r="BH19" i="6"/>
  <c r="BG19" i="6"/>
  <c r="BD19" i="6"/>
  <c r="BA19" i="6"/>
  <c r="AW19" i="6"/>
  <c r="AV19" i="6"/>
  <c r="N19" i="6"/>
  <c r="K19" i="6"/>
  <c r="H19" i="6"/>
  <c r="D19" i="6"/>
  <c r="C19" i="6"/>
  <c r="CQ18" i="6"/>
  <c r="CN18" i="6"/>
  <c r="CK18" i="6"/>
  <c r="CG18" i="6"/>
  <c r="CF18" i="6"/>
  <c r="CH18" i="6" s="1"/>
  <c r="CE18" i="6"/>
  <c r="CB18" i="6"/>
  <c r="BY18" i="6"/>
  <c r="BU18" i="6"/>
  <c r="BT18" i="6"/>
  <c r="BS18" i="6"/>
  <c r="BP18" i="6"/>
  <c r="BM18" i="6"/>
  <c r="BI18" i="6"/>
  <c r="BH18" i="6"/>
  <c r="BJ18" i="6" s="1"/>
  <c r="BG18" i="6"/>
  <c r="BD18" i="6"/>
  <c r="BA18" i="6"/>
  <c r="AW18" i="6"/>
  <c r="AV18" i="6"/>
  <c r="N18" i="6"/>
  <c r="K18" i="6"/>
  <c r="H18" i="6"/>
  <c r="D18" i="6"/>
  <c r="C18" i="6"/>
  <c r="CQ17" i="6"/>
  <c r="CN17" i="6"/>
  <c r="CK17" i="6"/>
  <c r="CG17" i="6"/>
  <c r="CF17" i="6"/>
  <c r="CE17" i="6"/>
  <c r="CB17" i="6"/>
  <c r="BY17" i="6"/>
  <c r="BU17" i="6"/>
  <c r="BT17" i="6"/>
  <c r="BV17" i="6" s="1"/>
  <c r="BS17" i="6"/>
  <c r="BP17" i="6"/>
  <c r="BM17" i="6"/>
  <c r="BI17" i="6"/>
  <c r="BH17" i="6"/>
  <c r="BG17" i="6"/>
  <c r="BD17" i="6"/>
  <c r="BA17" i="6"/>
  <c r="AX17" i="6"/>
  <c r="AW17" i="6"/>
  <c r="AV17" i="6"/>
  <c r="N17" i="6"/>
  <c r="K17" i="6"/>
  <c r="H17" i="6"/>
  <c r="D17" i="6"/>
  <c r="C17" i="6"/>
  <c r="CQ16" i="6"/>
  <c r="CN16" i="6"/>
  <c r="CK16" i="6"/>
  <c r="CH16" i="6"/>
  <c r="CG16" i="6"/>
  <c r="CF16" i="6"/>
  <c r="CE16" i="6"/>
  <c r="CB16" i="6"/>
  <c r="BY16" i="6"/>
  <c r="BU16" i="6"/>
  <c r="BT16" i="6"/>
  <c r="BS16" i="6"/>
  <c r="BP16" i="6"/>
  <c r="BM16" i="6"/>
  <c r="BI16" i="6"/>
  <c r="BH16" i="6"/>
  <c r="BJ16" i="6" s="1"/>
  <c r="BG16" i="6"/>
  <c r="BD16" i="6"/>
  <c r="BA16" i="6"/>
  <c r="AW16" i="6"/>
  <c r="AV16" i="6"/>
  <c r="N16" i="6"/>
  <c r="K16" i="6"/>
  <c r="H16" i="6"/>
  <c r="D16" i="6"/>
  <c r="C16" i="6"/>
  <c r="CQ15" i="6"/>
  <c r="CN15" i="6"/>
  <c r="CK15" i="6"/>
  <c r="CG15" i="6"/>
  <c r="CF15" i="6"/>
  <c r="CE15" i="6"/>
  <c r="CB15" i="6"/>
  <c r="BY15" i="6"/>
  <c r="BU15" i="6"/>
  <c r="BT15" i="6"/>
  <c r="BV15" i="6" s="1"/>
  <c r="BS15" i="6"/>
  <c r="BP15" i="6"/>
  <c r="BM15" i="6"/>
  <c r="BI15" i="6"/>
  <c r="BH15" i="6"/>
  <c r="BG15" i="6"/>
  <c r="BD15" i="6"/>
  <c r="BA15" i="6"/>
  <c r="AW15" i="6"/>
  <c r="AV15" i="6"/>
  <c r="AX15" i="6" s="1"/>
  <c r="N15" i="6"/>
  <c r="K15" i="6"/>
  <c r="H15" i="6"/>
  <c r="D15" i="6"/>
  <c r="C15" i="6"/>
  <c r="CQ14" i="6"/>
  <c r="CN14" i="6"/>
  <c r="CK14" i="6"/>
  <c r="CG14" i="6"/>
  <c r="CF14" i="6"/>
  <c r="CE14" i="6"/>
  <c r="CB14" i="6"/>
  <c r="BY14" i="6"/>
  <c r="BU14" i="6"/>
  <c r="BT14" i="6"/>
  <c r="BS14" i="6"/>
  <c r="BP14" i="6"/>
  <c r="BM14" i="6"/>
  <c r="BI14" i="6"/>
  <c r="BH14" i="6"/>
  <c r="BJ14" i="6" s="1"/>
  <c r="BG14" i="6"/>
  <c r="BD14" i="6"/>
  <c r="BA14" i="6"/>
  <c r="AW14" i="6"/>
  <c r="AV14" i="6"/>
  <c r="N14" i="6"/>
  <c r="K14" i="6"/>
  <c r="H14" i="6"/>
  <c r="E14" i="6"/>
  <c r="D14" i="6"/>
  <c r="C14" i="6"/>
  <c r="CQ13" i="6"/>
  <c r="CN13" i="6"/>
  <c r="CK13" i="6"/>
  <c r="CG13" i="6"/>
  <c r="CF13" i="6"/>
  <c r="CH13" i="6" s="1"/>
  <c r="CE13" i="6"/>
  <c r="CB13" i="6"/>
  <c r="BY13" i="6"/>
  <c r="BV13" i="6"/>
  <c r="BU13" i="6"/>
  <c r="BT13" i="6"/>
  <c r="BS13" i="6"/>
  <c r="BP13" i="6"/>
  <c r="BM13" i="6"/>
  <c r="BI13" i="6"/>
  <c r="BH13" i="6"/>
  <c r="BG13" i="6"/>
  <c r="BD13" i="6"/>
  <c r="BA13" i="6"/>
  <c r="AW13" i="6"/>
  <c r="AV13" i="6"/>
  <c r="AX13" i="6" s="1"/>
  <c r="N13" i="6"/>
  <c r="K13" i="6"/>
  <c r="H13" i="6"/>
  <c r="D13" i="6"/>
  <c r="C13" i="6"/>
  <c r="CQ12" i="6"/>
  <c r="CN12" i="6"/>
  <c r="CK12" i="6"/>
  <c r="CG12" i="6"/>
  <c r="CF12" i="6"/>
  <c r="CE12" i="6"/>
  <c r="CB12" i="6"/>
  <c r="BY12" i="6"/>
  <c r="BU12" i="6"/>
  <c r="BT12" i="6"/>
  <c r="BS12" i="6"/>
  <c r="BP12" i="6"/>
  <c r="BM12" i="6"/>
  <c r="BI12" i="6"/>
  <c r="BH12" i="6"/>
  <c r="BJ12" i="6" s="1"/>
  <c r="BG12" i="6"/>
  <c r="BD12" i="6"/>
  <c r="BA12" i="6"/>
  <c r="AW12" i="6"/>
  <c r="AV12" i="6"/>
  <c r="N12" i="6"/>
  <c r="K12" i="6"/>
  <c r="H12" i="6"/>
  <c r="D12" i="6"/>
  <c r="C12" i="6"/>
  <c r="E12" i="6" s="1"/>
  <c r="CQ11" i="6"/>
  <c r="CN11" i="6"/>
  <c r="CK11" i="6"/>
  <c r="CG11" i="6"/>
  <c r="CF11" i="6"/>
  <c r="CE11" i="6"/>
  <c r="CB11" i="6"/>
  <c r="BY11" i="6"/>
  <c r="BU11" i="6"/>
  <c r="BT11" i="6"/>
  <c r="BS11" i="6"/>
  <c r="BP11" i="6"/>
  <c r="BM11" i="6"/>
  <c r="BI11" i="6"/>
  <c r="BH11" i="6"/>
  <c r="BG11" i="6"/>
  <c r="BD11" i="6"/>
  <c r="BA11" i="6"/>
  <c r="AW11" i="6"/>
  <c r="AV11" i="6"/>
  <c r="AX11" i="6" s="1"/>
  <c r="N11" i="6"/>
  <c r="K11" i="6"/>
  <c r="H11" i="6"/>
  <c r="D11" i="6"/>
  <c r="C11" i="6"/>
  <c r="CQ10" i="6"/>
  <c r="CN10" i="6"/>
  <c r="CK10" i="6"/>
  <c r="CH10" i="6"/>
  <c r="CG10" i="6"/>
  <c r="CF10" i="6"/>
  <c r="CE10" i="6"/>
  <c r="CB10" i="6"/>
  <c r="BY10" i="6"/>
  <c r="BU10" i="6"/>
  <c r="BT10" i="6"/>
  <c r="BV10" i="6" s="1"/>
  <c r="BS10" i="6"/>
  <c r="BP10" i="6"/>
  <c r="BM10" i="6"/>
  <c r="BJ10" i="6"/>
  <c r="BI10" i="6"/>
  <c r="BH10" i="6"/>
  <c r="BG10" i="6"/>
  <c r="BD10" i="6"/>
  <c r="BA10" i="6"/>
  <c r="AW10" i="6"/>
  <c r="AV10" i="6"/>
  <c r="N10" i="6"/>
  <c r="K10" i="6"/>
  <c r="H10" i="6"/>
  <c r="D10" i="6"/>
  <c r="C10" i="6"/>
  <c r="E10" i="6" s="1"/>
  <c r="CQ9" i="6"/>
  <c r="CN9" i="6"/>
  <c r="CK9" i="6"/>
  <c r="CG9" i="6"/>
  <c r="CF9" i="6"/>
  <c r="CE9" i="6"/>
  <c r="CB9" i="6"/>
  <c r="BY9" i="6"/>
  <c r="BU9" i="6"/>
  <c r="BT9" i="6"/>
  <c r="BS9" i="6"/>
  <c r="BP9" i="6"/>
  <c r="BM9" i="6"/>
  <c r="BI9" i="6"/>
  <c r="BH9" i="6"/>
  <c r="BG9" i="6"/>
  <c r="BD9" i="6"/>
  <c r="BA9" i="6"/>
  <c r="AW9" i="6"/>
  <c r="AV9" i="6"/>
  <c r="AX9" i="6" s="1"/>
  <c r="N9" i="6"/>
  <c r="K9" i="6"/>
  <c r="H9" i="6"/>
  <c r="D9" i="6"/>
  <c r="C9" i="6"/>
  <c r="CQ8" i="6"/>
  <c r="CN8" i="6"/>
  <c r="CK8" i="6"/>
  <c r="CG8" i="6"/>
  <c r="CF8" i="6"/>
  <c r="CH8" i="6" s="1"/>
  <c r="CE8" i="6"/>
  <c r="CB8" i="6"/>
  <c r="BY8" i="6"/>
  <c r="BU8" i="6"/>
  <c r="BT8" i="6"/>
  <c r="BS8" i="6"/>
  <c r="BP8" i="6"/>
  <c r="BM8" i="6"/>
  <c r="BI8" i="6"/>
  <c r="BH8" i="6"/>
  <c r="BG8" i="6"/>
  <c r="BD8" i="6"/>
  <c r="BA8" i="6"/>
  <c r="AW8" i="6"/>
  <c r="AV8" i="6"/>
  <c r="N8" i="6"/>
  <c r="K8" i="6"/>
  <c r="H8" i="6"/>
  <c r="D8" i="6"/>
  <c r="C8" i="6"/>
  <c r="C5" i="6" s="1"/>
  <c r="CQ7" i="6"/>
  <c r="CN7" i="6"/>
  <c r="CK7" i="6"/>
  <c r="CG7" i="6"/>
  <c r="CF7" i="6"/>
  <c r="CE7" i="6"/>
  <c r="CB7" i="6"/>
  <c r="BY7" i="6"/>
  <c r="BV7" i="6"/>
  <c r="BU7" i="6"/>
  <c r="BT7" i="6"/>
  <c r="BS7" i="6"/>
  <c r="BP7" i="6"/>
  <c r="BM7" i="6"/>
  <c r="BI7" i="6"/>
  <c r="BH7" i="6"/>
  <c r="BJ7" i="6" s="1"/>
  <c r="BG7" i="6"/>
  <c r="BD7" i="6"/>
  <c r="BA7" i="6"/>
  <c r="AX7" i="6"/>
  <c r="AW7" i="6"/>
  <c r="AV7" i="6"/>
  <c r="N7" i="6"/>
  <c r="K7" i="6"/>
  <c r="H7" i="6"/>
  <c r="D7" i="6"/>
  <c r="C7" i="6"/>
  <c r="CQ6" i="6"/>
  <c r="CN6" i="6"/>
  <c r="CK6" i="6"/>
  <c r="CG6" i="6"/>
  <c r="CF6" i="6"/>
  <c r="CH6" i="6" s="1"/>
  <c r="CE6" i="6"/>
  <c r="CB6" i="6"/>
  <c r="BY6" i="6"/>
  <c r="BU6" i="6"/>
  <c r="BU5" i="6" s="1"/>
  <c r="BT6" i="6"/>
  <c r="BS6" i="6"/>
  <c r="BP6" i="6"/>
  <c r="BM6" i="6"/>
  <c r="BI6" i="6"/>
  <c r="BH6" i="6"/>
  <c r="BG6" i="6"/>
  <c r="BD6" i="6"/>
  <c r="BA6" i="6"/>
  <c r="AW6" i="6"/>
  <c r="AV6" i="6"/>
  <c r="AT6" i="6"/>
  <c r="AS6" i="6"/>
  <c r="AQ6" i="6"/>
  <c r="AP6" i="6"/>
  <c r="AN6" i="6"/>
  <c r="AM6" i="6"/>
  <c r="AH6" i="6"/>
  <c r="AG6" i="6"/>
  <c r="AE6" i="6"/>
  <c r="AD6" i="6"/>
  <c r="AB6" i="6"/>
  <c r="AA6" i="6"/>
  <c r="N6" i="6"/>
  <c r="K6" i="6"/>
  <c r="H6" i="6"/>
  <c r="D6" i="6"/>
  <c r="C6" i="6"/>
  <c r="E6" i="6" s="1"/>
  <c r="CP5" i="6"/>
  <c r="CO5" i="6"/>
  <c r="CM5" i="6"/>
  <c r="CL5" i="6"/>
  <c r="CJ5" i="6"/>
  <c r="CI5" i="6"/>
  <c r="CK5" i="6" s="1"/>
  <c r="CD5" i="6"/>
  <c r="CC5" i="6"/>
  <c r="CA5" i="6"/>
  <c r="BZ5" i="6"/>
  <c r="BX5" i="6"/>
  <c r="BW5" i="6"/>
  <c r="BR5" i="6"/>
  <c r="BQ5" i="6"/>
  <c r="BS5" i="6" s="1"/>
  <c r="BO5" i="6"/>
  <c r="BN5" i="6"/>
  <c r="BL5" i="6"/>
  <c r="BK5" i="6"/>
  <c r="BM5" i="6" s="1"/>
  <c r="BF5" i="6"/>
  <c r="BE5" i="6"/>
  <c r="BC5" i="6"/>
  <c r="BB5" i="6"/>
  <c r="AZ5" i="6"/>
  <c r="AY5" i="6"/>
  <c r="V5" i="6"/>
  <c r="U5" i="6"/>
  <c r="S5" i="6"/>
  <c r="R5" i="6"/>
  <c r="P5" i="6"/>
  <c r="O5" i="6"/>
  <c r="N5" i="6"/>
  <c r="M5" i="6"/>
  <c r="L5" i="6"/>
  <c r="K5" i="6"/>
  <c r="J5" i="6"/>
  <c r="I5" i="6"/>
  <c r="G5" i="6"/>
  <c r="F5" i="6"/>
  <c r="H5" i="6" s="1"/>
  <c r="BA5" i="6" l="1"/>
  <c r="BG5" i="6"/>
  <c r="BY5" i="6"/>
  <c r="CE5" i="6"/>
  <c r="AW5" i="6"/>
  <c r="BJ6" i="6"/>
  <c r="BJ8" i="6"/>
  <c r="BV9" i="6"/>
  <c r="BV11" i="6"/>
  <c r="CH12" i="6"/>
  <c r="CH14" i="6"/>
  <c r="BJ15" i="6"/>
  <c r="E16" i="6"/>
  <c r="E18" i="6"/>
  <c r="BV18" i="6"/>
  <c r="AX19" i="6"/>
  <c r="AX21" i="6"/>
  <c r="CH21" i="6"/>
  <c r="BJ22" i="6"/>
  <c r="BJ24" i="6"/>
  <c r="BV25" i="6"/>
  <c r="BV27" i="6"/>
  <c r="CH28" i="6"/>
  <c r="CH30" i="6"/>
  <c r="BJ31" i="6"/>
  <c r="E32" i="6"/>
  <c r="BV32" i="6"/>
  <c r="BV34" i="6"/>
  <c r="AX35" i="6"/>
  <c r="CH35" i="6"/>
  <c r="CH37" i="6"/>
  <c r="BJ38" i="6"/>
  <c r="E39" i="6"/>
  <c r="E41" i="6"/>
  <c r="BV41" i="6"/>
  <c r="AX42" i="6"/>
  <c r="AX44" i="6"/>
  <c r="CH44" i="6"/>
  <c r="BJ45" i="6"/>
  <c r="BJ47" i="6"/>
  <c r="E48" i="6"/>
  <c r="BV48" i="6"/>
  <c r="BV50" i="6"/>
  <c r="AX51" i="6"/>
  <c r="CH51" i="6"/>
  <c r="CH53" i="6"/>
  <c r="BJ54" i="6"/>
  <c r="E55" i="6"/>
  <c r="BI5" i="6"/>
  <c r="AR51" i="6"/>
  <c r="AR50" i="6"/>
  <c r="I33" i="2"/>
  <c r="CN5" i="6"/>
  <c r="AF6" i="6"/>
  <c r="E7" i="6"/>
  <c r="BV8" i="6"/>
  <c r="AX10" i="6"/>
  <c r="CH11" i="6"/>
  <c r="E15" i="6"/>
  <c r="BV16" i="6"/>
  <c r="AX18" i="6"/>
  <c r="CH19" i="6"/>
  <c r="E23" i="6"/>
  <c r="BV24" i="6"/>
  <c r="AX26" i="6"/>
  <c r="CH27" i="6"/>
  <c r="E31" i="6"/>
  <c r="BV31" i="6"/>
  <c r="AX33" i="6"/>
  <c r="CH34" i="6"/>
  <c r="BJ36" i="6"/>
  <c r="E38" i="6"/>
  <c r="BV39" i="6"/>
  <c r="AX41" i="6"/>
  <c r="CH42" i="6"/>
  <c r="BJ44" i="6"/>
  <c r="E46" i="6"/>
  <c r="BV47" i="6"/>
  <c r="AX49" i="6"/>
  <c r="CH50" i="6"/>
  <c r="BJ52" i="6"/>
  <c r="E54" i="6"/>
  <c r="BV55" i="6"/>
  <c r="AO49" i="6"/>
  <c r="AO48" i="6"/>
  <c r="AU39" i="6"/>
  <c r="AU38" i="6"/>
  <c r="AU37" i="6"/>
  <c r="AU30" i="6"/>
  <c r="AU29" i="6"/>
  <c r="AU28" i="6"/>
  <c r="AF27" i="6"/>
  <c r="AU26" i="6"/>
  <c r="AR13" i="6"/>
  <c r="AR11" i="6"/>
  <c r="BD5" i="6"/>
  <c r="BP5" i="6"/>
  <c r="CB5" i="6"/>
  <c r="D5" i="6"/>
  <c r="E5" i="6" s="1"/>
  <c r="BV6" i="6"/>
  <c r="E8" i="6"/>
  <c r="AX8" i="6"/>
  <c r="CH9" i="6"/>
  <c r="BJ11" i="6"/>
  <c r="E13" i="6"/>
  <c r="AX16" i="6"/>
  <c r="CH17" i="6"/>
  <c r="BJ19" i="6"/>
  <c r="E21" i="6"/>
  <c r="AX24" i="6"/>
  <c r="CH25" i="6"/>
  <c r="BJ27" i="6"/>
  <c r="E29" i="6"/>
  <c r="CH32" i="6"/>
  <c r="BJ34" i="6"/>
  <c r="E36" i="6"/>
  <c r="BV37" i="6"/>
  <c r="AX39" i="6"/>
  <c r="CH40" i="6"/>
  <c r="BJ42" i="6"/>
  <c r="E44" i="6"/>
  <c r="BV45" i="6"/>
  <c r="AX47" i="6"/>
  <c r="CH48" i="6"/>
  <c r="BJ50" i="6"/>
  <c r="E52" i="6"/>
  <c r="BV53" i="6"/>
  <c r="AX55" i="6"/>
  <c r="CG5" i="6"/>
  <c r="CQ5" i="6"/>
  <c r="AR6" i="6"/>
  <c r="AX6" i="6"/>
  <c r="BJ9" i="6"/>
  <c r="E11" i="6"/>
  <c r="BV12" i="6"/>
  <c r="AX14" i="6"/>
  <c r="BJ17" i="6"/>
  <c r="E19" i="6"/>
  <c r="BV20" i="6"/>
  <c r="AX22" i="6"/>
  <c r="BJ25" i="6"/>
  <c r="E27" i="6"/>
  <c r="BV28" i="6"/>
  <c r="AX30" i="6"/>
  <c r="BJ32" i="6"/>
  <c r="E34" i="6"/>
  <c r="BV35" i="6"/>
  <c r="AX37" i="6"/>
  <c r="CH38" i="6"/>
  <c r="BJ40" i="6"/>
  <c r="E42" i="6"/>
  <c r="BV43" i="6"/>
  <c r="AX45" i="6"/>
  <c r="CH46" i="6"/>
  <c r="BJ48" i="6"/>
  <c r="E50" i="6"/>
  <c r="BV51" i="6"/>
  <c r="AX53" i="6"/>
  <c r="CH54" i="6"/>
  <c r="AK44" i="6"/>
  <c r="AI42" i="6"/>
  <c r="AI41" i="6"/>
  <c r="AI40" i="6"/>
  <c r="AI31" i="6"/>
  <c r="AI21" i="6"/>
  <c r="AU9" i="6"/>
  <c r="I32" i="2"/>
  <c r="I34" i="2"/>
  <c r="AR49" i="6"/>
  <c r="AR48" i="6"/>
  <c r="AI30" i="6"/>
  <c r="AI29" i="6"/>
  <c r="AI28" i="6"/>
  <c r="AJ26" i="6"/>
  <c r="AU20" i="6"/>
  <c r="AF20" i="6"/>
  <c r="AU19" i="6"/>
  <c r="AU18" i="6"/>
  <c r="AU17" i="6"/>
  <c r="AU15" i="6"/>
  <c r="AU14" i="6"/>
  <c r="AS5" i="6"/>
  <c r="AU52" i="6"/>
  <c r="AO52" i="6"/>
  <c r="AU51" i="6"/>
  <c r="AK33" i="6"/>
  <c r="AC6" i="6"/>
  <c r="AI55" i="6"/>
  <c r="AI54" i="6"/>
  <c r="Y53" i="6"/>
  <c r="AI39" i="6"/>
  <c r="AI38" i="6"/>
  <c r="AI37" i="6"/>
  <c r="AI36" i="6"/>
  <c r="AI35" i="6"/>
  <c r="AK31" i="6"/>
  <c r="AF25" i="6"/>
  <c r="AU24" i="6"/>
  <c r="AU21" i="6"/>
  <c r="AF14" i="6"/>
  <c r="AU13" i="6"/>
  <c r="AF13" i="6"/>
  <c r="AF12" i="6"/>
  <c r="AU11" i="6"/>
  <c r="AU10" i="6"/>
  <c r="AR9" i="6"/>
  <c r="AR8" i="6"/>
  <c r="AI8" i="6"/>
  <c r="AH5" i="6"/>
  <c r="X53" i="6"/>
  <c r="AR52" i="6"/>
  <c r="AU48" i="6"/>
  <c r="AO47" i="6"/>
  <c r="AR45" i="6"/>
  <c r="AR44" i="6"/>
  <c r="AI44" i="6"/>
  <c r="AK37" i="6"/>
  <c r="AU36" i="6"/>
  <c r="AU35" i="6"/>
  <c r="AU34" i="6"/>
  <c r="AU33" i="6"/>
  <c r="AI32" i="6"/>
  <c r="AK29" i="6"/>
  <c r="AF29" i="6"/>
  <c r="AF28" i="6"/>
  <c r="AO27" i="6"/>
  <c r="AI20" i="6"/>
  <c r="AR18" i="6"/>
  <c r="AU16" i="6"/>
  <c r="AF16" i="6"/>
  <c r="AI13" i="6"/>
  <c r="AI12" i="6"/>
  <c r="AR10" i="6"/>
  <c r="AU8" i="6"/>
  <c r="AF7" i="6"/>
  <c r="AM5" i="6"/>
  <c r="AO6" i="6"/>
  <c r="AU55" i="6"/>
  <c r="Y55" i="6"/>
  <c r="AU54" i="6"/>
  <c r="Y54" i="6"/>
  <c r="AU53" i="6"/>
  <c r="AO45" i="6"/>
  <c r="AU42" i="6"/>
  <c r="AU41" i="6"/>
  <c r="AU40" i="6"/>
  <c r="AK35" i="6"/>
  <c r="AU32" i="6"/>
  <c r="AU31" i="6"/>
  <c r="AI26" i="6"/>
  <c r="AO25" i="6"/>
  <c r="AF24" i="6"/>
  <c r="AR17" i="6"/>
  <c r="AR16" i="6"/>
  <c r="AF15" i="6"/>
  <c r="AU12" i="6"/>
  <c r="AI9" i="6"/>
  <c r="AI24" i="6"/>
  <c r="AU50" i="6"/>
  <c r="AR47" i="6"/>
  <c r="AR46" i="6"/>
  <c r="AI34" i="6"/>
  <c r="AF30" i="6"/>
  <c r="AF10" i="6"/>
  <c r="AR7" i="6"/>
  <c r="AI7" i="6"/>
  <c r="AK55" i="6"/>
  <c r="AK54" i="6"/>
  <c r="AC53" i="6"/>
  <c r="Y52" i="6"/>
  <c r="Y50" i="6"/>
  <c r="Y48" i="6"/>
  <c r="Y46" i="6"/>
  <c r="Y43" i="6"/>
  <c r="AK39" i="6"/>
  <c r="X30" i="6"/>
  <c r="X28" i="6"/>
  <c r="AJ27" i="6"/>
  <c r="AK20" i="6"/>
  <c r="X20" i="6"/>
  <c r="AK18" i="6"/>
  <c r="X18" i="6"/>
  <c r="AK16" i="6"/>
  <c r="X16" i="6"/>
  <c r="AK14" i="6"/>
  <c r="X14" i="6"/>
  <c r="AK12" i="6"/>
  <c r="X12" i="6"/>
  <c r="AK10" i="6"/>
  <c r="Y10" i="6"/>
  <c r="AJ9" i="6"/>
  <c r="Y8" i="6"/>
  <c r="AJ7" i="6"/>
  <c r="AQ5" i="6"/>
  <c r="X6" i="6"/>
  <c r="AJ6" i="6"/>
  <c r="AR55" i="6"/>
  <c r="X55" i="6"/>
  <c r="AR54" i="6"/>
  <c r="X54" i="6"/>
  <c r="Z54" i="6" s="1"/>
  <c r="AR53" i="6"/>
  <c r="AI53" i="6"/>
  <c r="AK51" i="6"/>
  <c r="AI51" i="6"/>
  <c r="AK49" i="6"/>
  <c r="AI49" i="6"/>
  <c r="AK47" i="6"/>
  <c r="AI47" i="6"/>
  <c r="AK45" i="6"/>
  <c r="AI45" i="6"/>
  <c r="AO43" i="6"/>
  <c r="AF43" i="6"/>
  <c r="Y40" i="6"/>
  <c r="AR39" i="6"/>
  <c r="Y38" i="6"/>
  <c r="AR37" i="6"/>
  <c r="Y36" i="6"/>
  <c r="AR35" i="6"/>
  <c r="Y34" i="6"/>
  <c r="AR33" i="6"/>
  <c r="Y32" i="6"/>
  <c r="AR31" i="6"/>
  <c r="Y30" i="6"/>
  <c r="AR29" i="6"/>
  <c r="AJ28" i="6"/>
  <c r="AU27" i="6"/>
  <c r="AC27" i="6"/>
  <c r="AI25" i="6"/>
  <c r="AO24" i="6"/>
  <c r="AU23" i="6"/>
  <c r="AU22" i="6"/>
  <c r="AJ20" i="6"/>
  <c r="AL20" i="6" s="1"/>
  <c r="AR19" i="6"/>
  <c r="Y19" i="6"/>
  <c r="AJ18" i="6"/>
  <c r="AF18" i="6"/>
  <c r="Y17" i="6"/>
  <c r="AJ16" i="6"/>
  <c r="AR15" i="6"/>
  <c r="Y15" i="6"/>
  <c r="AJ14" i="6"/>
  <c r="Y13" i="6"/>
  <c r="AJ12" i="6"/>
  <c r="Y11" i="6"/>
  <c r="AJ10" i="6"/>
  <c r="X10" i="6"/>
  <c r="Z10" i="6" s="1"/>
  <c r="AF9" i="6"/>
  <c r="AK8" i="6"/>
  <c r="X8" i="6"/>
  <c r="Y51" i="6"/>
  <c r="Y49" i="6"/>
  <c r="Y47" i="6"/>
  <c r="Y45" i="6"/>
  <c r="AK43" i="6"/>
  <c r="AK38" i="6"/>
  <c r="AK36" i="6"/>
  <c r="AK34" i="6"/>
  <c r="AK32" i="6"/>
  <c r="AK30" i="6"/>
  <c r="X29" i="6"/>
  <c r="AK28" i="6"/>
  <c r="AK21" i="6"/>
  <c r="AK19" i="6"/>
  <c r="X19" i="6"/>
  <c r="AK17" i="6"/>
  <c r="X17" i="6"/>
  <c r="AK15" i="6"/>
  <c r="X15" i="6"/>
  <c r="Z15" i="6" s="1"/>
  <c r="AK13" i="6"/>
  <c r="X13" i="6"/>
  <c r="Z13" i="6" s="1"/>
  <c r="AK11" i="6"/>
  <c r="X11" i="6"/>
  <c r="Z11" i="6" s="1"/>
  <c r="Y9" i="6"/>
  <c r="AJ8" i="6"/>
  <c r="Y7" i="6"/>
  <c r="AB5" i="6"/>
  <c r="AI6" i="6"/>
  <c r="AN5" i="6"/>
  <c r="AU6" i="6"/>
  <c r="AJ55" i="6"/>
  <c r="AL55" i="6" s="1"/>
  <c r="AF55" i="6"/>
  <c r="AJ54" i="6"/>
  <c r="AF54" i="6"/>
  <c r="AJ53" i="6"/>
  <c r="AF53" i="6"/>
  <c r="AK52" i="6"/>
  <c r="AI52" i="6"/>
  <c r="AK50" i="6"/>
  <c r="AI50" i="6"/>
  <c r="AK48" i="6"/>
  <c r="AI48" i="6"/>
  <c r="AK46" i="6"/>
  <c r="AI46" i="6"/>
  <c r="AF45" i="6"/>
  <c r="Y44" i="6"/>
  <c r="AR43" i="6"/>
  <c r="AI43" i="6"/>
  <c r="Y39" i="6"/>
  <c r="AR38" i="6"/>
  <c r="Y37" i="6"/>
  <c r="AR36" i="6"/>
  <c r="Y35" i="6"/>
  <c r="AR34" i="6"/>
  <c r="Y33" i="6"/>
  <c r="Y31" i="6"/>
  <c r="AJ29" i="6"/>
  <c r="Y29" i="6"/>
  <c r="AR28" i="6"/>
  <c r="AI27" i="6"/>
  <c r="AO26" i="6"/>
  <c r="AU25" i="6"/>
  <c r="AC25" i="6"/>
  <c r="AR24" i="6"/>
  <c r="AI23" i="6"/>
  <c r="AI22" i="6"/>
  <c r="AR20" i="6"/>
  <c r="Y20" i="6"/>
  <c r="AJ19" i="6"/>
  <c r="AF19" i="6"/>
  <c r="Y18" i="6"/>
  <c r="AJ17" i="6"/>
  <c r="AF17" i="6"/>
  <c r="Y16" i="6"/>
  <c r="AJ15" i="6"/>
  <c r="AL15" i="6" s="1"/>
  <c r="AR14" i="6"/>
  <c r="Y14" i="6"/>
  <c r="AJ13" i="6"/>
  <c r="AR12" i="6"/>
  <c r="Y12" i="6"/>
  <c r="AJ11" i="6"/>
  <c r="AF11" i="6"/>
  <c r="AK9" i="6"/>
  <c r="X9" i="6"/>
  <c r="AF8" i="6"/>
  <c r="AK7" i="6"/>
  <c r="X7" i="6"/>
  <c r="Z7" i="6" s="1"/>
  <c r="Z53" i="6"/>
  <c r="AO55" i="6"/>
  <c r="AO54" i="6"/>
  <c r="AO53" i="6"/>
  <c r="AK53" i="6"/>
  <c r="X52" i="6"/>
  <c r="Z52" i="6" s="1"/>
  <c r="X51" i="6"/>
  <c r="X50" i="6"/>
  <c r="X49" i="6"/>
  <c r="X48" i="6"/>
  <c r="X47" i="6"/>
  <c r="X46" i="6"/>
  <c r="Z46" i="6" s="1"/>
  <c r="X45" i="6"/>
  <c r="Z45" i="6" s="1"/>
  <c r="X44" i="6"/>
  <c r="Z44" i="6" s="1"/>
  <c r="X43" i="6"/>
  <c r="AJ42" i="6"/>
  <c r="AO42" i="6"/>
  <c r="X42" i="6"/>
  <c r="AC42" i="6"/>
  <c r="AJ41" i="6"/>
  <c r="AO41" i="6"/>
  <c r="X41" i="6"/>
  <c r="AC41" i="6"/>
  <c r="AJ40" i="6"/>
  <c r="AO40" i="6"/>
  <c r="X40" i="6"/>
  <c r="AC40" i="6"/>
  <c r="AF39" i="6"/>
  <c r="X38" i="6"/>
  <c r="AC38" i="6"/>
  <c r="AF37" i="6"/>
  <c r="X36" i="6"/>
  <c r="Z36" i="6" s="1"/>
  <c r="AC36" i="6"/>
  <c r="AF35" i="6"/>
  <c r="X34" i="6"/>
  <c r="AC34" i="6"/>
  <c r="AF33" i="6"/>
  <c r="X32" i="6"/>
  <c r="AC32" i="6"/>
  <c r="AF31" i="6"/>
  <c r="AT5" i="6"/>
  <c r="AU5" i="6" s="1"/>
  <c r="AD5" i="6"/>
  <c r="AP5" i="6"/>
  <c r="AC55" i="6"/>
  <c r="AC54" i="6"/>
  <c r="AG5" i="6"/>
  <c r="AI5" i="6" s="1"/>
  <c r="AE5" i="6"/>
  <c r="AF52" i="6"/>
  <c r="AF51" i="6"/>
  <c r="AF50" i="6"/>
  <c r="AF49" i="6"/>
  <c r="AF48" i="6"/>
  <c r="AF47" i="6"/>
  <c r="AF46" i="6"/>
  <c r="AK42" i="6"/>
  <c r="Y42" i="6"/>
  <c r="AK41" i="6"/>
  <c r="Y41" i="6"/>
  <c r="AK40" i="6"/>
  <c r="AJ38" i="6"/>
  <c r="AO38" i="6"/>
  <c r="AJ36" i="6"/>
  <c r="AO36" i="6"/>
  <c r="AJ34" i="6"/>
  <c r="AL34" i="6" s="1"/>
  <c r="AO34" i="6"/>
  <c r="AJ32" i="6"/>
  <c r="AL32" i="6" s="1"/>
  <c r="AO32" i="6"/>
  <c r="AJ30" i="6"/>
  <c r="AO30" i="6"/>
  <c r="AL28" i="6"/>
  <c r="AJ52" i="6"/>
  <c r="AC52" i="6"/>
  <c r="AJ51" i="6"/>
  <c r="AC51" i="6"/>
  <c r="AJ50" i="6"/>
  <c r="AC50" i="6"/>
  <c r="AJ49" i="6"/>
  <c r="AL49" i="6" s="1"/>
  <c r="AC49" i="6"/>
  <c r="AJ48" i="6"/>
  <c r="AC48" i="6"/>
  <c r="AJ47" i="6"/>
  <c r="AC47" i="6"/>
  <c r="AJ46" i="6"/>
  <c r="AC46" i="6"/>
  <c r="AJ45" i="6"/>
  <c r="AL45" i="6" s="1"/>
  <c r="AC45" i="6"/>
  <c r="AJ44" i="6"/>
  <c r="AC44" i="6"/>
  <c r="AJ43" i="6"/>
  <c r="AL43" i="6" s="1"/>
  <c r="AC43" i="6"/>
  <c r="AR42" i="6"/>
  <c r="AF42" i="6"/>
  <c r="AR41" i="6"/>
  <c r="AF41" i="6"/>
  <c r="AR40" i="6"/>
  <c r="AF40" i="6"/>
  <c r="X39" i="6"/>
  <c r="Z39" i="6" s="1"/>
  <c r="AC39" i="6"/>
  <c r="AF38" i="6"/>
  <c r="X37" i="6"/>
  <c r="AC37" i="6"/>
  <c r="AF36" i="6"/>
  <c r="X35" i="6"/>
  <c r="AC35" i="6"/>
  <c r="AF34" i="6"/>
  <c r="X33" i="6"/>
  <c r="AC33" i="6"/>
  <c r="X31" i="6"/>
  <c r="Z31" i="6" s="1"/>
  <c r="AC31" i="6"/>
  <c r="AJ39" i="6"/>
  <c r="AL39" i="6" s="1"/>
  <c r="AO39" i="6"/>
  <c r="AJ37" i="6"/>
  <c r="AL37" i="6" s="1"/>
  <c r="AO37" i="6"/>
  <c r="AJ35" i="6"/>
  <c r="AL35" i="6" s="1"/>
  <c r="AO35" i="6"/>
  <c r="AJ33" i="6"/>
  <c r="AL33" i="6" s="1"/>
  <c r="AO33" i="6"/>
  <c r="AR32" i="6"/>
  <c r="AJ31" i="6"/>
  <c r="AO31" i="6"/>
  <c r="AR30" i="6"/>
  <c r="AK27" i="6"/>
  <c r="AK26" i="6"/>
  <c r="AL26" i="6" s="1"/>
  <c r="AK25" i="6"/>
  <c r="AL25" i="6" s="1"/>
  <c r="AK24" i="6"/>
  <c r="AF21" i="6"/>
  <c r="AC30" i="6"/>
  <c r="AO29" i="6"/>
  <c r="AC29" i="6"/>
  <c r="AO28" i="6"/>
  <c r="AC28" i="6"/>
  <c r="AR27" i="6"/>
  <c r="X27" i="6"/>
  <c r="AR26" i="6"/>
  <c r="X26" i="6"/>
  <c r="AR25" i="6"/>
  <c r="X25" i="6"/>
  <c r="AR23" i="6"/>
  <c r="AF23" i="6"/>
  <c r="AR22" i="6"/>
  <c r="AF22" i="6"/>
  <c r="AR21" i="6"/>
  <c r="Y21" i="6"/>
  <c r="AL14" i="6"/>
  <c r="AL12" i="6"/>
  <c r="AL10" i="6"/>
  <c r="Y28" i="6"/>
  <c r="Z28" i="6" s="1"/>
  <c r="Y27" i="6"/>
  <c r="Y26" i="6"/>
  <c r="Y25" i="6"/>
  <c r="Y24" i="6"/>
  <c r="AK23" i="6"/>
  <c r="Y23" i="6"/>
  <c r="AK22" i="6"/>
  <c r="Y22" i="6"/>
  <c r="X21" i="6"/>
  <c r="AC21" i="6"/>
  <c r="AJ24" i="6"/>
  <c r="X24" i="6"/>
  <c r="AC24" i="6"/>
  <c r="AJ23" i="6"/>
  <c r="AO23" i="6"/>
  <c r="X23" i="6"/>
  <c r="AC23" i="6"/>
  <c r="AJ22" i="6"/>
  <c r="AO22" i="6"/>
  <c r="X22" i="6"/>
  <c r="AC22" i="6"/>
  <c r="AJ21" i="6"/>
  <c r="AO21" i="6"/>
  <c r="AL17" i="6"/>
  <c r="AL13" i="6"/>
  <c r="Z9" i="6"/>
  <c r="AO20" i="6"/>
  <c r="AC20" i="6"/>
  <c r="AO19" i="6"/>
  <c r="AC19" i="6"/>
  <c r="AO18" i="6"/>
  <c r="AC18" i="6"/>
  <c r="AO17" i="6"/>
  <c r="AC17" i="6"/>
  <c r="AO16" i="6"/>
  <c r="AC16" i="6"/>
  <c r="AO15" i="6"/>
  <c r="AC15" i="6"/>
  <c r="AO14" i="6"/>
  <c r="AC14" i="6"/>
  <c r="AO13" i="6"/>
  <c r="AC13" i="6"/>
  <c r="AO12" i="6"/>
  <c r="AC12" i="6"/>
  <c r="AO11" i="6"/>
  <c r="AC11" i="6"/>
  <c r="AO10" i="6"/>
  <c r="AC10" i="6"/>
  <c r="AO9" i="6"/>
  <c r="AC9" i="6"/>
  <c r="AO8" i="6"/>
  <c r="AC8" i="6"/>
  <c r="AO7" i="6"/>
  <c r="AC7" i="6"/>
  <c r="AA5" i="6"/>
  <c r="Y6" i="6"/>
  <c r="AK6" i="6"/>
  <c r="AV5" i="6"/>
  <c r="AX5" i="6" s="1"/>
  <c r="BH5" i="6"/>
  <c r="BJ5" i="6" s="1"/>
  <c r="BT5" i="6"/>
  <c r="BV5" i="6" s="1"/>
  <c r="CF5" i="6"/>
  <c r="CH5" i="6" s="1"/>
  <c r="CH7" i="6"/>
  <c r="E9" i="6"/>
  <c r="AX12" i="6"/>
  <c r="BJ13" i="6"/>
  <c r="BV14" i="6"/>
  <c r="CH15" i="6"/>
  <c r="E17" i="6"/>
  <c r="AX20" i="6"/>
  <c r="BJ21" i="6"/>
  <c r="BV22" i="6"/>
  <c r="CH23" i="6"/>
  <c r="E25" i="6"/>
  <c r="AX28" i="6"/>
  <c r="BJ29" i="6"/>
  <c r="BV30" i="6"/>
  <c r="AL31" i="6" l="1"/>
  <c r="AL44" i="6"/>
  <c r="AC5" i="6"/>
  <c r="Z33" i="6"/>
  <c r="AL36" i="6"/>
  <c r="Z32" i="6"/>
  <c r="Z40" i="6"/>
  <c r="Z48" i="6"/>
  <c r="Z17" i="6"/>
  <c r="AL22" i="6"/>
  <c r="Z8" i="6"/>
  <c r="AL11" i="6"/>
  <c r="AL19" i="6"/>
  <c r="AL18" i="6"/>
  <c r="AF5" i="6"/>
  <c r="Z23" i="6"/>
  <c r="AL47" i="6"/>
  <c r="AL51" i="6"/>
  <c r="Z38" i="6"/>
  <c r="Z49" i="6"/>
  <c r="AL53" i="6"/>
  <c r="AL24" i="6"/>
  <c r="Z37" i="6"/>
  <c r="AL30" i="6"/>
  <c r="AL38" i="6"/>
  <c r="Z50" i="6"/>
  <c r="AL29" i="6"/>
  <c r="AL54" i="6"/>
  <c r="AO5" i="6"/>
  <c r="AL8" i="6"/>
  <c r="AL16" i="6"/>
  <c r="Z55" i="6"/>
  <c r="Z18" i="6"/>
  <c r="Z26" i="6"/>
  <c r="AL46" i="6"/>
  <c r="AL50" i="6"/>
  <c r="Z34" i="6"/>
  <c r="Z47" i="6"/>
  <c r="AL7" i="6"/>
  <c r="X5" i="6"/>
  <c r="AL21" i="6"/>
  <c r="AL23" i="6"/>
  <c r="AL27" i="6"/>
  <c r="Z35" i="6"/>
  <c r="AL48" i="6"/>
  <c r="AL52" i="6"/>
  <c r="AL41" i="6"/>
  <c r="Z19" i="6"/>
  <c r="Z29" i="6"/>
  <c r="Z12" i="6"/>
  <c r="Z16" i="6"/>
  <c r="Z20" i="6"/>
  <c r="Z30" i="6"/>
  <c r="Z14" i="6"/>
  <c r="AJ5" i="6"/>
  <c r="AR5" i="6"/>
  <c r="Z43" i="6"/>
  <c r="Z51" i="6"/>
  <c r="AL9" i="6"/>
  <c r="AK5" i="6"/>
  <c r="Z25" i="6"/>
  <c r="Z27" i="6"/>
  <c r="Y5" i="6"/>
  <c r="Z22" i="6"/>
  <c r="Z24" i="6"/>
  <c r="Z21" i="6"/>
  <c r="Z41" i="6"/>
  <c r="Z42" i="6"/>
  <c r="AL40" i="6"/>
  <c r="AL42" i="6"/>
  <c r="AL6" i="6"/>
  <c r="Z6" i="6"/>
  <c r="D4" i="1"/>
  <c r="C4" i="1"/>
  <c r="AL5" i="6" l="1"/>
  <c r="Z5" i="6"/>
  <c r="E4" i="1"/>
  <c r="CG5" i="3"/>
  <c r="BI5" i="3"/>
  <c r="BU5" i="3"/>
  <c r="AW5" i="3"/>
  <c r="G11" i="2" s="1"/>
  <c r="G36" i="2" s="1"/>
  <c r="Y5" i="3"/>
  <c r="CP5" i="3"/>
  <c r="CO5" i="3"/>
  <c r="CM5" i="3"/>
  <c r="CL5" i="3"/>
  <c r="CJ5" i="3"/>
  <c r="CI5" i="3"/>
  <c r="CD5" i="3"/>
  <c r="CC5" i="3"/>
  <c r="CA5" i="3"/>
  <c r="BZ5" i="3"/>
  <c r="BX5" i="3"/>
  <c r="BW5" i="3"/>
  <c r="BR5" i="3"/>
  <c r="BQ5" i="3"/>
  <c r="BO5" i="3"/>
  <c r="BN5" i="3"/>
  <c r="BL5" i="3"/>
  <c r="BK5" i="3"/>
  <c r="BF5" i="3"/>
  <c r="G14" i="2" s="1"/>
  <c r="G39" i="2" s="1"/>
  <c r="BE5" i="3"/>
  <c r="E14" i="2" s="1"/>
  <c r="E39" i="2" s="1"/>
  <c r="BC5" i="3"/>
  <c r="G13" i="2" s="1"/>
  <c r="G38" i="2" s="1"/>
  <c r="BB5" i="3"/>
  <c r="AZ5" i="3"/>
  <c r="AY5" i="3"/>
  <c r="AT5" i="3"/>
  <c r="G26" i="2" s="1"/>
  <c r="AS5" i="3"/>
  <c r="E26" i="2" s="1"/>
  <c r="AQ5" i="3"/>
  <c r="G25" i="2" s="1"/>
  <c r="AP5" i="3"/>
  <c r="E25" i="2" s="1"/>
  <c r="AN5" i="3"/>
  <c r="G24" i="2" s="1"/>
  <c r="AM5" i="3"/>
  <c r="E24" i="2" s="1"/>
  <c r="AH5" i="3"/>
  <c r="G22" i="2" s="1"/>
  <c r="AG5" i="3"/>
  <c r="E22" i="2" s="1"/>
  <c r="AE5" i="3"/>
  <c r="G21" i="2" s="1"/>
  <c r="AD5" i="3"/>
  <c r="E21" i="2" s="1"/>
  <c r="AB5" i="3"/>
  <c r="G20" i="2" s="1"/>
  <c r="AA5" i="3"/>
  <c r="E20" i="2" s="1"/>
  <c r="M5" i="3"/>
  <c r="L5" i="3"/>
  <c r="J5" i="3"/>
  <c r="I5" i="3"/>
  <c r="G5" i="3"/>
  <c r="F5" i="3"/>
  <c r="D5" i="3"/>
  <c r="CB5" i="3" l="1"/>
  <c r="CQ5" i="3"/>
  <c r="CK5" i="3"/>
  <c r="BS5" i="3"/>
  <c r="E18" i="2"/>
  <c r="BM5" i="3"/>
  <c r="N5" i="3"/>
  <c r="H5" i="3"/>
  <c r="CN5" i="3"/>
  <c r="BG5" i="3"/>
  <c r="BD5" i="3"/>
  <c r="K5" i="3"/>
  <c r="BA5" i="3"/>
  <c r="CE5" i="3"/>
  <c r="BP5" i="3"/>
  <c r="BY5" i="3"/>
  <c r="AU5" i="3"/>
  <c r="C26" i="2" s="1"/>
  <c r="AR5" i="3"/>
  <c r="C25" i="2" s="1"/>
  <c r="AI5" i="3"/>
  <c r="C22" i="2" s="1"/>
  <c r="AO5" i="3"/>
  <c r="C24" i="2" s="1"/>
  <c r="AK5" i="3"/>
  <c r="AF5" i="3"/>
  <c r="C21" i="2" s="1"/>
  <c r="AC5" i="3"/>
  <c r="C20" i="2" s="1"/>
  <c r="X5" i="3"/>
  <c r="Z5" i="3" s="1"/>
  <c r="C19" i="2" s="1"/>
  <c r="I19" i="2" s="1"/>
  <c r="AJ5" i="3"/>
  <c r="AV5" i="3"/>
  <c r="BH5" i="3"/>
  <c r="BJ5" i="3" s="1"/>
  <c r="BT5" i="3"/>
  <c r="BV5" i="3" s="1"/>
  <c r="CF5" i="3"/>
  <c r="CH5" i="3" s="1"/>
  <c r="C5" i="3"/>
  <c r="E5" i="3" s="1"/>
  <c r="C6" i="2" s="1"/>
  <c r="C7" i="2" s="1"/>
  <c r="I20" i="2" l="1"/>
  <c r="I22" i="2"/>
  <c r="I21" i="2"/>
  <c r="AX5" i="3"/>
  <c r="AL5" i="3"/>
  <c r="C23" i="2" s="1"/>
  <c r="I23" i="2" s="1"/>
  <c r="C29" i="2"/>
  <c r="D29" i="2" s="1"/>
  <c r="I26" i="2" l="1"/>
  <c r="I25" i="2"/>
  <c r="I24" i="2"/>
  <c r="G19" i="2"/>
  <c r="E19" i="2"/>
  <c r="G23" i="2"/>
  <c r="E23" i="2"/>
  <c r="G18" i="2"/>
  <c r="G17" i="2"/>
  <c r="E16" i="2"/>
  <c r="G16" i="2"/>
  <c r="G15" i="2"/>
  <c r="G12" i="2"/>
  <c r="G37" i="2" s="1"/>
  <c r="E17" i="2"/>
  <c r="E15" i="2"/>
  <c r="E13" i="2"/>
  <c r="E38" i="2" s="1"/>
  <c r="E12" i="2"/>
  <c r="E37" i="2" s="1"/>
  <c r="C18" i="2"/>
  <c r="C17" i="2"/>
  <c r="C16" i="2"/>
  <c r="C15" i="2"/>
  <c r="C14" i="2"/>
  <c r="C39" i="2" s="1"/>
  <c r="C13" i="2"/>
  <c r="C38" i="2" s="1"/>
  <c r="C12" i="2"/>
  <c r="C37" i="2" s="1"/>
  <c r="C11" i="2"/>
  <c r="C36" i="2" s="1"/>
  <c r="E11" i="2"/>
  <c r="E36" i="2" s="1"/>
  <c r="L14" i="2"/>
  <c r="L13" i="2"/>
  <c r="L12" i="2"/>
  <c r="L11" i="2"/>
  <c r="L10" i="2"/>
  <c r="L9" i="2"/>
  <c r="L8" i="2"/>
  <c r="L7" i="2"/>
  <c r="L6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E5" i="2"/>
  <c r="G5" i="2" s="1"/>
  <c r="E4" i="2"/>
  <c r="G4" i="2" s="1"/>
  <c r="I39" i="2" l="1"/>
  <c r="I37" i="2"/>
  <c r="I38" i="2"/>
  <c r="I12" i="2"/>
  <c r="I17" i="2" l="1"/>
  <c r="I14" i="2"/>
  <c r="I15" i="2"/>
  <c r="I13" i="2"/>
  <c r="I16" i="2"/>
  <c r="I11" i="2"/>
  <c r="I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tc={09D85910-9892-4690-BEC7-BA1101157C7C}</author>
    <author>tc={5439090A-4AC7-414E-A9BB-B8D9C44EF499}</author>
    <author>tc={A588D2D8-6A7A-43BE-BB19-5EC1CC219FF1}</author>
    <author>tc={6795B0D4-BABD-4D1B-B179-755E57E7660E}</author>
    <author>tc={552F7E2C-D83F-4C15-94EC-E27B9C17B8F3}</author>
    <author>tc={7980D817-593B-4BD8-9B6C-6F91CA070C12}</author>
    <author>tc={A61D9DB9-C656-4990-ABF0-E48385D99BBF}</author>
    <author>tc={234D23A8-25FD-43E3-AAC4-B3E2A1675ECB}</author>
    <author>tc={9A998A81-3338-4127-89E6-CB0DF9143FD5}</author>
    <author>tc={871A8265-2E5C-AA4F-B0AA-EB39C7393FDE}</author>
    <author>tc={6B9B8961-061D-2A4B-9A0D-3E47C5CE2BEF}</author>
    <author>tc={8DC58DED-41DB-6E4C-91D1-D98DF73016CD}</author>
    <author>tc={795AB43A-1B15-4A95-8972-A5BDD830025D}</author>
    <author>tc={3B55C32D-975D-C543-86CC-4E5DFE9994A4}</author>
    <author>tc={86451B8D-4EBE-5246-9C10-B5690895C7E6}</author>
    <author>tc={511FCAED-F41C-2442-92A5-0D934E18BA7D}</author>
    <author>tc={09D85910-9892-4691-BEC7-BA1101157C7C}</author>
    <author>tc={5439090A-4AC7-414F-A9BB-B8D9C44EF499}</author>
    <author>tc={A588D2D8-6A7A-43BF-BB19-5EC1CC219FF1}</author>
    <author>tc={6795B0D4-BABD-4D1C-B179-755E57E7660E}</author>
    <author>tc={72342B4B-1B1D-2643-84F1-60D6FB6E849A}</author>
    <author>tc={20B61D27-E904-8649-AB93-AB222CADA33E}</author>
    <author>tc={820FFD17-001E-F146-966C-4035AE35D32D}</author>
    <author>tc={365A53E2-9472-884E-BDC6-9815AD4CC541}</author>
  </authors>
  <commentList>
    <comment ref="H11" authorId="0" shapeId="0" xr:uid="{09D85910-9892-4690-BEC7-BA1101157C7C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เมื่อเทียบกับจำนวนผู้สูงอายุทั้งหมด</t>
      </text>
    </comment>
    <comment ref="H12" authorId="1" shapeId="0" xr:uid="{5439090A-4AC7-414E-A9BB-B8D9C44EF499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เมื่อเทียบกับจำนวนผู้สูงอายุที่รับเบี้ยยังชีพ</t>
      </text>
    </comment>
    <comment ref="H13" authorId="2" shapeId="0" xr:uid="{A588D2D8-6A7A-43BE-BB19-5EC1CC219FF1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เมื่อเทียบกับจำนวนผู้สูงอายุที่รับเบี้ยยังชีพ</t>
      </text>
    </comment>
    <comment ref="H14" authorId="3" shapeId="0" xr:uid="{6795B0D4-BABD-4D1B-B179-755E57E7660E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เมื่อเทียบกับจำนวนผู้สูงอายุที่รับเบี้ยยังชีพ</t>
      </text>
    </comment>
    <comment ref="H15" authorId="4" shapeId="0" xr:uid="{552F7E2C-D83F-4C15-94EC-E27B9C17B8F3}">
      <text>
        <t>[Threaded comment]
Your version of Excel allows you to read this threaded comment; however, any edits to it will get removed if the file is opened in a newer version of Excel. Learn more: https://go.microsoft.com/fwlink/?linkid=870924
Comment:
    ร้อยละเมื่อเทียบกับจำนวนผู้สูงอายุทั้งหมด</t>
      </text>
    </comment>
    <comment ref="H16" authorId="5" shapeId="0" xr:uid="{7980D817-593B-4BD8-9B6C-6F91CA070C12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เมื่อเทียบกับจำนวนผู้สูงอายุที่รับเบี้ยความพิการ</t>
      </text>
    </comment>
    <comment ref="H17" authorId="6" shapeId="0" xr:uid="{A61D9DB9-C656-4990-ABF0-E48385D99BBF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เมื่อเทียบกับจำนวนผู้สูงอายุที่รับเบี้ยความพิการ</t>
      </text>
    </comment>
    <comment ref="H18" authorId="7" shapeId="0" xr:uid="{234D23A8-25FD-43E3-AAC4-B3E2A1675ECB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เมื่อเทียบกับจำนวนผู้สูงอายุที่รับเบี้ยความพิการ</t>
      </text>
    </comment>
    <comment ref="H19" authorId="8" shapeId="0" xr:uid="{9A998A81-3338-4127-89E6-CB0DF9143FD5}">
      <text>
        <t>[Threaded comment]
Your version of Excel allows you to read this threaded comment; however, any edits to it will get removed if the file is opened in a newer version of Excel. Learn more: https://go.microsoft.com/fwlink/?linkid=870924
Comment:
    ร้อยละเมื่อเทียบกับจำนวนผู้สูงอายุทั้งหมด</t>
      </text>
    </comment>
    <comment ref="H20" authorId="9" shapeId="0" xr:uid="{871A8265-2E5C-AA4F-B0AA-EB39C7393FDE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เมื่อเทียบกับจำนวนผู้สูงอายุที่รับเบี้ยความพิการ</t>
      </text>
    </comment>
    <comment ref="H21" authorId="10" shapeId="0" xr:uid="{6B9B8961-061D-2A4B-9A0D-3E47C5CE2BEF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เมื่อเทียบกับจำนวนผู้สูงอายุที่รับเบี้ยความพิการ</t>
      </text>
    </comment>
    <comment ref="H22" authorId="11" shapeId="0" xr:uid="{8DC58DED-41DB-6E4C-91D1-D98DF73016CD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เมื่อเทียบกับจำนวนผู้สูงอายุที่รับเบี้ยความพิการ</t>
      </text>
    </comment>
    <comment ref="H23" authorId="12" shapeId="0" xr:uid="{795AB43A-1B15-4A95-8972-A5BDD830025D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เมื่อเทียบกับจำนวนผู้สูงอายุที่อยู่ในภาวะพึ่งพิง</t>
      </text>
    </comment>
    <comment ref="H24" authorId="13" shapeId="0" xr:uid="{3B55C32D-975D-C543-86CC-4E5DFE9994A4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เมื่อเทียบกับจำนวนผู้สูงอายุที่รับเบี้ยความพิการ</t>
      </text>
    </comment>
    <comment ref="H25" authorId="14" shapeId="0" xr:uid="{86451B8D-4EBE-5246-9C10-B5690895C7E6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เมื่อเทียบกับจำนวนผู้สูงอายุที่รับเบี้ยความพิการ</t>
      </text>
    </comment>
    <comment ref="H26" authorId="15" shapeId="0" xr:uid="{511FCAED-F41C-2442-92A5-0D934E18BA7D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เมื่อเทียบกับจำนวนผู้สูงอายุที่รับเบี้ยความพิการ</t>
      </text>
    </comment>
    <comment ref="H31" authorId="16" shapeId="0" xr:uid="{4C21C7BB-4AC5-4881-8D55-35F8E161894F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เมื่อเทียบกับจำนวนผู้สูงอายุทั้งหมด</t>
      </text>
    </comment>
    <comment ref="H32" authorId="17" shapeId="0" xr:uid="{8ABE6235-B805-4F40-947B-397D60FAAB0D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เมื่อเทียบกับจำนวนผู้สูงอายุที่รับเบี้ยยังชีพ</t>
      </text>
    </comment>
    <comment ref="H33" authorId="18" shapeId="0" xr:uid="{77CA2419-A772-4BBF-B9DC-A3AD92B171B3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เมื่อเทียบกับจำนวนผู้สูงอายุที่รับเบี้ยยังชีพ</t>
      </text>
    </comment>
    <comment ref="H34" authorId="19" shapeId="0" xr:uid="{F1C2B6B4-7C89-454D-9336-5BFCC2983365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เมื่อเทียบกับจำนวนผู้สูงอายุที่รับเบี้ยยังชีพ</t>
      </text>
    </comment>
    <comment ref="H36" authorId="20" shapeId="0" xr:uid="{72342B4B-1B1D-2643-84F1-60D6FB6E849A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เมื่อเทียบกับจำนวนผู้สูงอายุทั้งหมด</t>
      </text>
    </comment>
    <comment ref="H37" authorId="21" shapeId="0" xr:uid="{20B61D27-E904-8649-AB93-AB222CADA33E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เมื่อเทียบกับจำนวนผู้สูงอายุที่รับเบี้ยยังชีพ</t>
      </text>
    </comment>
    <comment ref="H38" authorId="22" shapeId="0" xr:uid="{820FFD17-001E-F146-966C-4035AE35D32D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เมื่อเทียบกับจำนวนผู้สูงอายุที่รับเบี้ยยังชีพ</t>
      </text>
    </comment>
    <comment ref="H39" authorId="23" shapeId="0" xr:uid="{365A53E2-9472-884E-BDC6-9815AD4CC541}">
      <text>
        <t>[Threaded comment]
Your version of Excel allows you to read this threaded comment; however, any edits to it will get removed if the file is opened in a newer version of Excel. Learn more: https://go.microsoft.com/fwlink/?linkid=870924
Comment:
    เมื่อเทียบกับจำนวนผู้สูงอายุที่รับเบี้ยยังชีพ</t>
      </text>
    </comment>
  </commentList>
</comments>
</file>

<file path=xl/sharedStrings.xml><?xml version="1.0" encoding="utf-8"?>
<sst xmlns="http://schemas.openxmlformats.org/spreadsheetml/2006/main" count="2439" uniqueCount="665">
  <si>
    <t>ข้อมูลประชากรรวม</t>
  </si>
  <si>
    <t>รวมประชากร 56 -59 ปี</t>
  </si>
  <si>
    <t>อายุ</t>
  </si>
  <si>
    <t>ปี</t>
  </si>
  <si>
    <t>รวมประชากรตั้งแต่อายุ 60 ปีขึ้นไป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</si>
  <si>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</si>
  <si>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</si>
  <si>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</si>
  <si>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</si>
  <si>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</si>
  <si>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</si>
  <si>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</si>
  <si>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</si>
  <si>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ปีขึ้นไป</t>
  </si>
  <si>
    <t>ชาย</t>
  </si>
  <si>
    <t>หญิง</t>
  </si>
  <si>
    <t>รวม</t>
  </si>
  <si>
    <t>เขต</t>
  </si>
  <si>
    <t>พระนคร</t>
  </si>
  <si>
    <t>ภาษีเจริญ</t>
  </si>
  <si>
    <t>บางแค</t>
  </si>
  <si>
    <t>หนองแขม</t>
  </si>
  <si>
    <t>บางขุนเทียน</t>
  </si>
  <si>
    <t>บางบอน</t>
  </si>
  <si>
    <t>ราษฎร์บูรณะ</t>
  </si>
  <si>
    <t>ทุ่งครุ</t>
  </si>
  <si>
    <t>จำนวนผู้สูงอายุทั้งหมด</t>
  </si>
  <si>
    <t>เพศชาย</t>
  </si>
  <si>
    <t>เพศหญิง</t>
  </si>
  <si>
    <t>ดินแดง</t>
  </si>
  <si>
    <t>จำแนกช่วงอายุ</t>
  </si>
  <si>
    <t>56 - 59</t>
  </si>
  <si>
    <t xml:space="preserve"> ชาย</t>
  </si>
  <si>
    <t>ดุสิต</t>
  </si>
  <si>
    <t>ป้อมปราบศัตรูพ่าย</t>
  </si>
  <si>
    <t>สัมพันธวงศ์</t>
  </si>
  <si>
    <t>ห้วยขวาง</t>
  </si>
  <si>
    <t>พญาไท</t>
  </si>
  <si>
    <t>ราชเทวี</t>
  </si>
  <si>
    <t>วังทองหลาง</t>
  </si>
  <si>
    <t>ปทุมวัน</t>
  </si>
  <si>
    <t>บางรัก</t>
  </si>
  <si>
    <t>สาทร</t>
  </si>
  <si>
    <t>บางคอแหลม</t>
  </si>
  <si>
    <t>ยานนาวา</t>
  </si>
  <si>
    <t>คลองเตย</t>
  </si>
  <si>
    <t>วัฒนา</t>
  </si>
  <si>
    <t>พระโขนง</t>
  </si>
  <si>
    <t>บางนา</t>
  </si>
  <si>
    <t>สวนหลวง</t>
  </si>
  <si>
    <t>ทวีวัฒนา</t>
  </si>
  <si>
    <t>ตลิ่งชัน</t>
  </si>
  <si>
    <t>บางพลัด</t>
  </si>
  <si>
    <t>บางกอกน้อย</t>
  </si>
  <si>
    <t>บางกอกใหญ่</t>
  </si>
  <si>
    <t>จอมทอง</t>
  </si>
  <si>
    <t>คลองสาน</t>
  </si>
  <si>
    <t>ธนบุรี</t>
  </si>
  <si>
    <t>ประเวศ</t>
  </si>
  <si>
    <t>คลองสามวา</t>
  </si>
  <si>
    <t>หนองจอก</t>
  </si>
  <si>
    <t>มีนบุรี</t>
  </si>
  <si>
    <t>ลาดกระบัง</t>
  </si>
  <si>
    <t>คันนายาว</t>
  </si>
  <si>
    <t>บึงกุ่ม</t>
  </si>
  <si>
    <t>สะพานสูง</t>
  </si>
  <si>
    <t>บางกะปิ</t>
  </si>
  <si>
    <t>บางเขน</t>
  </si>
  <si>
    <t>สายไหม</t>
  </si>
  <si>
    <t>ดอนเมือง</t>
  </si>
  <si>
    <t>หลักสี่</t>
  </si>
  <si>
    <t>ลาดพร้าว</t>
  </si>
  <si>
    <t>บางซื่อ</t>
  </si>
  <si>
    <t>จตุจักร</t>
  </si>
  <si>
    <t>กรอกชื่อเขต ข้อมูลจะเปลี่ยนตามชื่อเขตเอง</t>
  </si>
  <si>
    <t>การรับเบี้ยยังชีพผู้สูงอายุ</t>
  </si>
  <si>
    <t>ร้อยละ</t>
  </si>
  <si>
    <t>จำนวนผู้สูงอายุที่รับเบี้ยยังชีพผู้สูงอายุ</t>
  </si>
  <si>
    <t>จำนวนผู้สูงอายุที่รับเบี้ยความพิการ</t>
  </si>
  <si>
    <t>จำนวนผู้สูงอายุที่อยู่ในภาวะพึ่งพิง</t>
  </si>
  <si>
    <t>จำนวนผู้สูงอายุที่อยู่ในภาวะพึ่งพิงที่มีผู้ดูแล</t>
  </si>
  <si>
    <t xml:space="preserve"> - ผู้สูงอายุวัยต้น 60 - 69 ปี</t>
  </si>
  <si>
    <t xml:space="preserve"> - ผู้สูงอายุวัยกลาง 70 - 79 ปี</t>
  </si>
  <si>
    <t xml:space="preserve"> - ผู้สูงอายุวัยปลาย 80 ปีขึ้นไป</t>
  </si>
  <si>
    <t>จำนวนชมรมผู้สูงอายุในพื้นที่เขต</t>
  </si>
  <si>
    <t>สำนักงานเขต</t>
  </si>
  <si>
    <t>70 - 79 ปี</t>
  </si>
  <si>
    <t>60 - 69 ปี</t>
  </si>
  <si>
    <t>80 ปีขึ้นไป</t>
  </si>
  <si>
    <t>จำนวนการเสียชีวิต</t>
  </si>
  <si>
    <t>การรับบัตรสวัสดิการแห่งรัฐ</t>
  </si>
  <si>
    <t>จำนวนผู้สูงอายุที่อยู่ตามลำพัง</t>
  </si>
  <si>
    <t>จำนวนสมาชิกรวม</t>
  </si>
  <si>
    <t>จำนวนชมรมรวม</t>
  </si>
  <si>
    <t>เส้นเลือดอุดตัน</t>
  </si>
  <si>
    <t>หัวใจล้มเหลว</t>
  </si>
  <si>
    <t>มะเร็ง</t>
  </si>
  <si>
    <t>ติดเชื้อในกระแสเลือด</t>
  </si>
  <si>
    <t>โรคชรา</t>
  </si>
  <si>
    <t>สาเหตุ</t>
  </si>
  <si>
    <t>ปอดติดเชื้อ</t>
  </si>
  <si>
    <t>ชื่อชมรม</t>
  </si>
  <si>
    <t>จำนวนสมาชิก</t>
  </si>
  <si>
    <t>ดูในไฟล์เยอะ</t>
  </si>
  <si>
    <t>ศูนย์ 38</t>
  </si>
  <si>
    <t>บางกระบือ 14</t>
  </si>
  <si>
    <t>วัดประชาราบือธรรม</t>
  </si>
  <si>
    <t>ระนองกลาง</t>
  </si>
  <si>
    <t>วัดสวัสดิ์วารสีมาราม</t>
  </si>
  <si>
    <t>มิตรอนันต์</t>
  </si>
  <si>
    <t>ศูนย์ 6</t>
  </si>
  <si>
    <t>สุโขทัย ซอย 9</t>
  </si>
  <si>
    <t>ซอยโซดา</t>
  </si>
  <si>
    <t>สวนอ้อย</t>
  </si>
  <si>
    <t>หลังบ้านมนังคสิลา</t>
  </si>
  <si>
    <t>ท่านำ้สามเสน</t>
  </si>
  <si>
    <t>ชมรมผู้สูงอายุมัสยิดมหานาค</t>
  </si>
  <si>
    <t>ชมรมผู้สูงอายุบ้านบาตร</t>
  </si>
  <si>
    <t>ชมรมผู้สูงอายุเขตสัมพันธวงศ์</t>
  </si>
  <si>
    <t>ศูนย์บริการสาธารณสุข 4</t>
  </si>
  <si>
    <t>ศูนย์บริการสาธารณสุข 52</t>
  </si>
  <si>
    <t>ศบส.25 ห้วยขวาง</t>
  </si>
  <si>
    <t>บึงพระราม 9 พัฒนา</t>
  </si>
  <si>
    <t>บึงพระราม 9 บ่อ 3</t>
  </si>
  <si>
    <t>ชมรมผู้สูงอายุศูนย์บริการสาธารณสุข 2 วัดมักกะสัน เขตราชเทวี</t>
  </si>
  <si>
    <t>ชมรมผู้สูงอายุวังทอง</t>
  </si>
  <si>
    <t>ชมรมผู้สูงอายุชุมชนคลองพลับพลา</t>
  </si>
  <si>
    <t>ชมรมผู้สูงอายุชุมชนลาดพร้าว 80 แยก 11</t>
  </si>
  <si>
    <t>ชมรมผู้สูงอายุชุมชนรุ่งมณีพัฒนา</t>
  </si>
  <si>
    <t>ชมรมผู้สูงอายุศูนย์บริการสาธารณสุข 5 จุฬาลงกรณ์</t>
  </si>
  <si>
    <t>ชมรมผู้สูงอายุศูนย์บริการสาธารณสุข 16 ลุมพินี</t>
  </si>
  <si>
    <t>ชมรมผู้ัสูงอายุเขตบางรัก</t>
  </si>
  <si>
    <t>ชมรมฤาษีดัดตนประยุกต์</t>
  </si>
  <si>
    <t>กายบริหารรุ่งอรุณมิวสิค</t>
  </si>
  <si>
    <t>ชมรมหว้ายตันกงพัฒนา</t>
  </si>
  <si>
    <t>ชมรมฟ้าใสแต้จิ๋วแอโรบิค</t>
  </si>
  <si>
    <t>ชมรมคังลักเกี้ยงซิงจู</t>
  </si>
  <si>
    <t>ชมรมฟ้าใหม่สุขใจ</t>
  </si>
  <si>
    <t>ผู้สูงอายุ ศูนย์ 12</t>
  </si>
  <si>
    <t>ผู้สูงอายุ ศูนย์ 18</t>
  </si>
  <si>
    <t>ผู้สูงอายุเมืองอยู่ดี</t>
  </si>
  <si>
    <t>ผู้สูงอายุโรงพยาบาลเจริญกรุงฯ</t>
  </si>
  <si>
    <t>ผู้สูงอายุชุมชนร่วมใจพัฒนา</t>
  </si>
  <si>
    <t>ผู้สูงอายุศาลเจ้ากวนอู</t>
  </si>
  <si>
    <t>ชมรมผู้สูงอายุแขวงช่องนนทรี</t>
  </si>
  <si>
    <t>ชมรมผู้สูงอายุเขตยานนาวา</t>
  </si>
  <si>
    <t>ชมรมผู้สูงอายุศูนย์บริการสาธารณสุข7บุญมี ปุรุราชรังสรรค์</t>
  </si>
  <si>
    <t>ชมรมผู้สูงอายุโสณมัย - อร่ามดวง</t>
  </si>
  <si>
    <t>ชมรมผู้สูงอายุเบญจสิริ</t>
  </si>
  <si>
    <t>ชมรมผู้สูงอายุแพทย์สตรีอุปถัมป์</t>
  </si>
  <si>
    <t>ชมรมผู้สูงอายุศูนย์บริการสาธารณสุข 41</t>
  </si>
  <si>
    <t>ชมรมผู้สูงอายุวัดคลองเตยใน 1-2-3</t>
  </si>
  <si>
    <t>ชมรมผู้สูงอายุแฟลต 2</t>
  </si>
  <si>
    <t>ชมรมผู้สูงอายุอาคารทรัพย์สิน 26-7</t>
  </si>
  <si>
    <t>กลุ่มผู้สูงอายุแฟลต 23-24</t>
  </si>
  <si>
    <t>กลุ่มผู้สูงอายุชุมชนคลองเตย ล็อค 4-5-6</t>
  </si>
  <si>
    <t>กลุ่มผู้สูงอายุสวนอ้อย</t>
  </si>
  <si>
    <t>กลุ่มผู้สูงอายุมูลนิธิดวงประทีป (กลุ่มผู้สูงอายุ ผู้พิการกลุ่มศูนย์สามวัย)</t>
  </si>
  <si>
    <t>กลุ่มผู้สูงอายุศูนย์เมอร์ซี</t>
  </si>
  <si>
    <t>กลุ่มผู้สูงอายุชุมชนพัฒนาใหม่</t>
  </si>
  <si>
    <t>ชมรมผู้สูงอายุชุมชนเกาะกลาง</t>
  </si>
  <si>
    <t>ชมรมผู้สูงอายุวัดธาตุทอง</t>
  </si>
  <si>
    <t>ชมรมผู้สูงอายุสุเหร่าบ้านดอน</t>
  </si>
  <si>
    <t>ชมรมผู้สูงอายุชุมชนสุเหร่าบางมะเขือ มีสุวรรณ 2 มีสุวรรณ 3</t>
  </si>
  <si>
    <t>วัดวชิรธรรมสาธิต</t>
  </si>
  <si>
    <t>วัดบุญรอดธรรมาราม</t>
  </si>
  <si>
    <t>หมู่บ้านศรัณจิต</t>
  </si>
  <si>
    <t>ชมรมผู้สูงอายุศูนย์บริการสาธารณสุข 37</t>
  </si>
  <si>
    <t>ชมรมผู้สูงอายุชุมชนหมู่บ้านฮอลลีวู้ด</t>
  </si>
  <si>
    <t>ชมรมผู้สูงอายุวัดขจรศิริ</t>
  </si>
  <si>
    <t>ชมรมผู้สูงอายุชุมชนอัลเอี๊ยะติซอม</t>
  </si>
  <si>
    <t>ชมรมผู้สูงอายุชุมชนร่วมพัฒนาบ้านป่า</t>
  </si>
  <si>
    <t>ชมรมผู้สูงอายุชุมชนนครหลวง</t>
  </si>
  <si>
    <t>ชมรมผู้สูงอายุเสนานิคม 2</t>
  </si>
  <si>
    <t>ชมรมผู้สูงอายุรุ่งเจริญ</t>
  </si>
  <si>
    <t>ชมรมผู้สูงอายุ 2 ชุมชนร่วมใจสามัคคี</t>
  </si>
  <si>
    <t>ชมรมผู้สูงอายุประดิษฐ์โทรการ</t>
  </si>
  <si>
    <t>ชมรมผู้สูงอายุประชาร่วมใจ 1</t>
  </si>
  <si>
    <t>ชมรมผู้สูงอายุประชาร่วมใจ 2</t>
  </si>
  <si>
    <t>ชมรมผู้สูงอายุภักดี</t>
  </si>
  <si>
    <t>ชมรมผู้สูงอายุไทรคู่</t>
  </si>
  <si>
    <t>ชมรมผู้สูงอายุหนองจุฬา</t>
  </si>
  <si>
    <t>ชมรมผู้สูงอายุพรรณี</t>
  </si>
  <si>
    <t>ชมรมผู้สูงอายุศูนย์ 17</t>
  </si>
  <si>
    <t>ชุมชนยิ้มประยูรพัฒนา</t>
  </si>
  <si>
    <t>ชุมชนหัวรถจักรตึกแดง</t>
  </si>
  <si>
    <t>ชุมชนจันทร์เกษม</t>
  </si>
  <si>
    <t>ตรอกโจ๊ก</t>
  </si>
  <si>
    <t>ซอยประดู่</t>
  </si>
  <si>
    <t>วัดประดู่ธรรมาธิปัตย์</t>
  </si>
  <si>
    <t>ศูนย์ ๓ บางซื่อ</t>
  </si>
  <si>
    <t>สีน้ำเงิน ๑</t>
  </si>
  <si>
    <t>เขมาเนรมิตร</t>
  </si>
  <si>
    <t>หมู่บ้านเขมาเนรมิตรนิเวศ</t>
  </si>
  <si>
    <t>วัดเลียบ</t>
  </si>
  <si>
    <t>ศรีบุญยืนพัฒนา</t>
  </si>
  <si>
    <t>ศูนย์ฯ ๑๙ วงศ์สว่าง</t>
  </si>
  <si>
    <t>ชุมชนราชทรัพย์</t>
  </si>
  <si>
    <t>ชมรมผู้สูงอายุลาดพร้าว</t>
  </si>
  <si>
    <t>ชมรมผู้สูงอายุชายคลองบางบัว</t>
  </si>
  <si>
    <t>ชมรมผู้สูงอายุชุมชนก้าวหน้า</t>
  </si>
  <si>
    <t>ชมรมผู้สูงอายุชุมชนคนรักถิ่น</t>
  </si>
  <si>
    <t>ชมรมผู้สูงอายุชุมชนหลังแฟลตร่วมพัฒนา</t>
  </si>
  <si>
    <t>ชมรมผู้สูงอายุชุมชนร่วมพัฒนา</t>
  </si>
  <si>
    <t>ชมรมผู้สูงอายุชุมชนเคหะชุมชนทุ่งสองห้อง 302</t>
  </si>
  <si>
    <t>ชมรมผู้สูงอายุชุมชนเคหุะชุมชนทุ่งสองห้อง 318</t>
  </si>
  <si>
    <t>ชมรมผู้สูงอายุชุมชนชวนชื่นบางเขน</t>
  </si>
  <si>
    <t>ชมรมผู้สูงอายุชุมชนเคหะชุมชนบางบัว</t>
  </si>
  <si>
    <t>ชมรมผู้สูงอายุชุมชนชินเขต</t>
  </si>
  <si>
    <t>ชมรมผู้สูงอายุชุมชนเคหะท่าทราย</t>
  </si>
  <si>
    <t>ชมรมผู้สูงอายุศูนย์บริการสาธารณะสุข 53</t>
  </si>
  <si>
    <t>ชมรมผู้สูงอายุศูนย์บริการสาธารณสุข61 สังวาลย์ ทัสนารมย์ (ชุมชนประชานุกูล)</t>
  </si>
  <si>
    <t>ชมรมผู้สูงอายุชุมชนหมู่บ้านซื่อตรง พหลโยธิน 52</t>
  </si>
  <si>
    <t>ชมรมผู้สูงอายุหมู่บ้านณัฐกานต์ 3,5</t>
  </si>
  <si>
    <t>ชมรมผู้สูงอายุวิทยาลัยทหารอากาศ</t>
  </si>
  <si>
    <t>ชมรมผู้สูงอายุหมู่บ้านเลิศอุบลสะพานใหม่</t>
  </si>
  <si>
    <t>ชมรมผู้สูงอายุหมู่บ้านทัพฟ้า</t>
  </si>
  <si>
    <t>ชมรมผู้สูงอายุหมู่บ้านธนวรรณ</t>
  </si>
  <si>
    <t>ชมรมผู้สูงอายุชุมชนรวมมิตรสัมพันธ์</t>
  </si>
  <si>
    <t>ชมรมผู้สูงอายุรุ่งเรืองเฮาส์</t>
  </si>
  <si>
    <t>ชมรมผู้สูงอายุหมู่บ้านมนชญา 2 สามัคคี</t>
  </si>
  <si>
    <t>ชมรมผู้สูงอายุเทพนครนิเวศน์</t>
  </si>
  <si>
    <t>ผู้สูงอายุพร้อมสุข</t>
  </si>
  <si>
    <t>ผู้สูงอายุหมู่บ้านอัมรินทร์นิเวศน์</t>
  </si>
  <si>
    <t>ผู้สูงอายุรามอินทรา 67</t>
  </si>
  <si>
    <t>ผู้สูงอายุหมู่บ้านไปรษณีย์นิเวศน์</t>
  </si>
  <si>
    <t>ผู้สูงอายุพลังสามัคคี</t>
  </si>
  <si>
    <t>ผู้สูงอายุร่วมใจพัฒนาใต้</t>
  </si>
  <si>
    <t>ผู้สูงอายุศิล 5</t>
  </si>
  <si>
    <t>ผู้สูงอายุเคหะรามอินทรา กม.4</t>
  </si>
  <si>
    <t>ผู้สูงอายุร่วมพัฒนา 33</t>
  </si>
  <si>
    <t>ผู้สูงอายุรุ่งสว่างวิลเลจ</t>
  </si>
  <si>
    <t>ผู้สูงอายุหมู่บ้านพหลโยธิน 48</t>
  </si>
  <si>
    <t>ผู้สูงอายุเฉลิมสุขนิเวศน์</t>
  </si>
  <si>
    <t>ผู้สูงอายุอยู่รวย</t>
  </si>
  <si>
    <t>ผู้สูงอายุวัดไตรรัตนาราม</t>
  </si>
  <si>
    <t>พุทธรักษา</t>
  </si>
  <si>
    <t>ชุมชนลำสาลีพัฒนา</t>
  </si>
  <si>
    <t>ชุมชนวังโสม</t>
  </si>
  <si>
    <t>ชุมชนหมู่บ้านกิตตินิเวศน์</t>
  </si>
  <si>
    <t>ชุมชนสุขสันต์26</t>
  </si>
  <si>
    <t>หมู่บ้านสัมมากร</t>
  </si>
  <si>
    <t>ไทเก็กชี่กงสัมมากร</t>
  </si>
  <si>
    <t>หมู่บ้านพฤกษชาติ</t>
  </si>
  <si>
    <t>หมู่บ้านนักกีฬาแหลมทอง</t>
  </si>
  <si>
    <t>หมู่บ้านเคหะนคร(เคหะธานี 4)</t>
  </si>
  <si>
    <t>อยู่นานบานชื่น</t>
  </si>
  <si>
    <t>สุข-สุขภาพ</t>
  </si>
  <si>
    <t>เกษมราษฎร์</t>
  </si>
  <si>
    <t>สามแยกคลองหลอแหล</t>
  </si>
  <si>
    <t>ฮิดายะห์พัฒนา</t>
  </si>
  <si>
    <t>แสงมณี</t>
  </si>
  <si>
    <t>หมู่บ้านโฮมเพลส</t>
  </si>
  <si>
    <t>มัสยิดย่ามีล้ลอิบาดะห์</t>
  </si>
  <si>
    <t>ชมรมผู้สูงอายุศูนย์บริการสาธารณสุข 50 บึงกุ่ม</t>
  </si>
  <si>
    <t>ชมรมผู้สู.อายุโรงพยาบาลนพรัตน์</t>
  </si>
  <si>
    <t>ชมรมผู้สูงอายุหมู่บ้านแสงอรุณ</t>
  </si>
  <si>
    <t>ชมรมผู้สูงอายุร่มเกล้า 2</t>
  </si>
  <si>
    <t>ชมรมผู้สูงอายุชุมชน201 (หลังคาแดง) ร่มเกล้า</t>
  </si>
  <si>
    <t>ชมรมส่งเสริมสุขภาพผู้สูงอายุโซน 7</t>
  </si>
  <si>
    <t>ชมรมฟื้นนครเคหะร่มเกล้า ระยะ 3 โซน 8</t>
  </si>
  <si>
    <t>ชมร่มส่งเสริมสุขภาพผู้สูงอายุเคหะร่มเกล้า โซน 4 ร่มเกล้า</t>
  </si>
  <si>
    <t>ชมรมส่งเสริมสุขภาพผู้สูงอายุเคหะร่มเกล้า โซน 6</t>
  </si>
  <si>
    <t>ชมรมผู้สูงอายุ โซน 2</t>
  </si>
  <si>
    <t>ชมรมผู้สูงอายุชุมชนเคหะนคร 2</t>
  </si>
  <si>
    <t>ชมรมผู้สูงอายุร่วมใจพัฒนา</t>
  </si>
  <si>
    <t>ชมรมผู้สูงอายุวัดลานบุญ</t>
  </si>
  <si>
    <t>ชมรมผู้สูงอายุโรงพยาบาลลาดกระบัง</t>
  </si>
  <si>
    <t>ชมรมผู้สูงอายุเขตมีนบุรี</t>
  </si>
  <si>
    <t>ชมรมผู้สูงอายุศูนย์บริการสาธารสุข 43 มีนบุรี</t>
  </si>
  <si>
    <t>ชมรมผู้สูงอายุศูนย์กีฬา 72 พรรษา</t>
  </si>
  <si>
    <t>ชมรมผู้สูงอายุศูนย์เยาวชนมีนบุรี</t>
  </si>
  <si>
    <t>ชมรมผู้สูงอายุชุมชนหมู่บ้านสินธานี 2</t>
  </si>
  <si>
    <t>ชุมชนผู้สูงอายุชุมชนแก้วสวัสดิ์-ใจบุญ</t>
  </si>
  <si>
    <t>ชมรมผู้สูงอายุชุมชนวัดทองสัมฤทธิ์</t>
  </si>
  <si>
    <t>ชมรมผู้สูงอายุคลองสิบ</t>
  </si>
  <si>
    <t>ชมรมผู้สูงอายุศูนย์บริการสาธารณสุข๔๔ ลำผักชี</t>
  </si>
  <si>
    <t>ชมรมผู้สูงอายุเคหะหนองจอก</t>
  </si>
  <si>
    <t>ชมรมผู้สูงอายุชุมชนมิตรไมตรีสัมพันธ์</t>
  </si>
  <si>
    <t>ชมรมผู้สูงอายุโรงพยาบาลเวชการุณย์รัศมี</t>
  </si>
  <si>
    <t>ชมรมผู้สูงอายุ 64 คลองสามวา</t>
  </si>
  <si>
    <t>ชมรมผู้สูงอายุเคซี 1</t>
  </si>
  <si>
    <t>ชมรมผู้สูงอายุหมู่บ้านเมืองประชารามอินทรา</t>
  </si>
  <si>
    <t>ชมรมผู้สูงอายุศรีบูรพา</t>
  </si>
  <si>
    <t>ชมรมผู้สูงอายุโรงพยาบาลสิรินธร</t>
  </si>
  <si>
    <t>ชมรมผู้สูงอายุศูนย์บริการสาธารณสุข 57 (บุญเรือง ล้ำเลิศ)</t>
  </si>
  <si>
    <t>ชมรมผู้สูงอายุศูนย์บริการสาธารณสุข 22 (วัดปากบ่อ)</t>
  </si>
  <si>
    <t>ชมรมผู้สูงอายุประเวศบุรีรมย์</t>
  </si>
  <si>
    <t>ชมรมผู้สูงอายุหมู่บ้านเสรีอ่อนนุช</t>
  </si>
  <si>
    <t>ชมรมผู้สูงอายุทุ่งเศรษฐี 555</t>
  </si>
  <si>
    <t>ชมรมผู้สูงอายุเปรมฤทัย 20</t>
  </si>
  <si>
    <t>ชมรมดนตรีนาฏศิลป์ โรงพยาบาลสิรินธร</t>
  </si>
  <si>
    <t>ชมรมผู้สูงอายุรักษ์สุขภาพ</t>
  </si>
  <si>
    <t>ผู้สูงอายุวัดซางตาครู้ส</t>
  </si>
  <si>
    <t>ผู้สูงอายุจตุรมิตรสัมพันธ์และศูนย์ฯ 26</t>
  </si>
  <si>
    <t>ผู้สูงอายุชุมชนสุทธาราม</t>
  </si>
  <si>
    <t>ผู้สูงอายุชุมชนเกื้อวิทยา</t>
  </si>
  <si>
    <t>ผู้สูงอายุชุมชนตรอกสะพานยาว</t>
  </si>
  <si>
    <t>ผู้สูงอายุชุมชนหลังไปรษณีย์สำเหร่</t>
  </si>
  <si>
    <t>ผู้สูงอายุชุมชนวัดราชวรินทร์</t>
  </si>
  <si>
    <t>ผู้สูงอายุชุมชนโรงคราม</t>
  </si>
  <si>
    <t>ผู้สูงอายุชุมชนศูนย์ฯ 27</t>
  </si>
  <si>
    <t>ผู้สูงอายุชุมชนศูนย์ฯ 36</t>
  </si>
  <si>
    <t>ผู้สูงอายุชุมชนวัดหิรัญรูจี</t>
  </si>
  <si>
    <t>ชมรมผู้สูงอายุโรงพยาบาลตากสิน</t>
  </si>
  <si>
    <t>ชมรมผู้สูงอายุเขตคลองสาน</t>
  </si>
  <si>
    <t>ชมรมผู้สูงอายุศูนย์บริการสาธารณสุข 28 กรุงธนบุรี</t>
  </si>
  <si>
    <t>ชมรมผู้สูงอายุสวนสมเด็จย่า โรงเรียนบำรุงวิชา</t>
  </si>
  <si>
    <t>ชมรมผู้สูงอายุศูนย์บริการสาธารณสุข29 ช่วง นุชเนตร</t>
  </si>
  <si>
    <t>ชมรมผู้สูงอายุฤทธิเดช</t>
  </si>
  <si>
    <t>ชมรมผู้สูงอายุธูปหอม</t>
  </si>
  <si>
    <t>ชมรมผู้สูงอายุภาณุมาภรณ์(จอมทอง3)</t>
  </si>
  <si>
    <t>ชมรมรักษ์เบาหวาน</t>
  </si>
  <si>
    <t>ชมรมผู้สูงอายุนางนอง2สันติสุข</t>
  </si>
  <si>
    <t>ชมรมผู้สูงอายุเขตบางกอกใหญ่</t>
  </si>
  <si>
    <t>ชมรมผู้สูงอายุวัดรวกสุทธาราม</t>
  </si>
  <si>
    <t>ชมรมผู้สูงอายุวัดไชยทิศ</t>
  </si>
  <si>
    <t>กลุ่มกิจกรรมผู้สูงอายุชุมชนมะลิ2</t>
  </si>
  <si>
    <t>ชมรมผู้สูงอายุตรอกวังหลัง</t>
  </si>
  <si>
    <t>ชมรมรักษ์สุขภาพ</t>
  </si>
  <si>
    <t>ชมรมคนรักษ์สุขภาพ</t>
  </si>
  <si>
    <t>ชมรมผู้สูงอายุวัดสุวรรณาราม</t>
  </si>
  <si>
    <t>ชมรมผู้สูงอายุพาณิชยการสยาม</t>
  </si>
  <si>
    <t>ผู้สูงอายุหน้าห้างสรรพสินค้าเทสโก้โลตัส</t>
  </si>
  <si>
    <t>ผู้สูงอายุชุมชนมะพร้าวคู่</t>
  </si>
  <si>
    <t>ผู้สูงอายุวัดภาณุรังษี</t>
  </si>
  <si>
    <t>ผู้สูงอายุสุขภาพดี อายุร้อยปี ชีวีเป็นสุข</t>
  </si>
  <si>
    <t>ผู้สูงอายุชุมชนแสงทอง</t>
  </si>
  <si>
    <t>ผู้สูงอายุจรัญ 75</t>
  </si>
  <si>
    <t>ผู้สูงอายุศูนย์บริการสาธารณสุข 31</t>
  </si>
  <si>
    <t>ผู้สูงอายุวัดภคินีนาถ</t>
  </si>
  <si>
    <t>ชมรมผู้สูงอายุร่วมเกื้อ</t>
  </si>
  <si>
    <t>ชมรมผู้สูงอายุสกุลทิพย์</t>
  </si>
  <si>
    <t>ชมรมผู้สูงอายุธารถวิล</t>
  </si>
  <si>
    <t>วิจิตรสามัคคี</t>
  </si>
  <si>
    <t>แป๊ะกงร่วมใจ</t>
  </si>
  <si>
    <t>วัดมะพร้าวเตี้ย</t>
  </si>
  <si>
    <t>วัดจันทร์ประดิษฐาราม</t>
  </si>
  <si>
    <t>หว้ายตันกงวัดกำแพง</t>
  </si>
  <si>
    <t>เลิศสุขสม</t>
  </si>
  <si>
    <t>สามัคคีธรรม</t>
  </si>
  <si>
    <t>ศรีประดู่</t>
  </si>
  <si>
    <t>ศูนย์ฯ 62 ตวงรัชฏ์</t>
  </si>
  <si>
    <t>วัดนิมมานรดี</t>
  </si>
  <si>
    <t>หว้ายตันกงวัดรางบัว</t>
  </si>
  <si>
    <t>รักสุขภาพสุภัทรภิบาล</t>
  </si>
  <si>
    <t>กัลปพฤกษ์</t>
  </si>
  <si>
    <t>ซอยเฟื่องฟ้า</t>
  </si>
  <si>
    <t>กำแพงทองพัฒนา</t>
  </si>
  <si>
    <t>ชมรมผู้สูงอายุศิริเกษมรวมใจ 50</t>
  </si>
  <si>
    <t>ชมรมผู้สูงอายุเกษตรรุ่งเรือง</t>
  </si>
  <si>
    <t>ชมรมผู้สูงอายุเลียบคลองทวัีวัฒนา</t>
  </si>
  <si>
    <t>ชมรมผู้สูงอายุศิริเกษมพัฒนา</t>
  </si>
  <si>
    <t>ชมรมผู้สูงอายุนิมมานรดี</t>
  </si>
  <si>
    <t>ชมรมผู้สูงอายุบริการสาธรณสุข 48 นาควัชระอุทิศ</t>
  </si>
  <si>
    <t>ชมรมผู้สูงอายุโรงพยาบาลหลวงพ่อทวีศักดิ์ฯ</t>
  </si>
  <si>
    <t>ชมรมผู้สูงอายุตลาดหนองแขม</t>
  </si>
  <si>
    <t>ชมรมผู้สูงอายุสวัสดิการหนองแขม</t>
  </si>
  <si>
    <t>ชมรมผู้สูงอายุสงวนคำ</t>
  </si>
  <si>
    <t>ชมรมผู้สูงอายุตลาดการค้าหนองแขม หมุ่ 2</t>
  </si>
  <si>
    <t>ชมรมผู้สูงอายุซอยนาคสถาพร 1</t>
  </si>
  <si>
    <t>ชมรมผู้สูงอายุหรรษา 1</t>
  </si>
  <si>
    <t>ชมรมผู้สูงอายุหมู่บ้ายพุดตาน</t>
  </si>
  <si>
    <t>ชมรมผู้สูงอายุหมู่บ้านวังทอง</t>
  </si>
  <si>
    <t>ชมรมผู้สูงอายุสร้อยมาลา</t>
  </si>
  <si>
    <t>ชมรมผู้สูงอายุหรรษาสร้างสรรค์</t>
  </si>
  <si>
    <t>ชมรมผู้สูงอายุจันทร์ทรัพย์</t>
  </si>
  <si>
    <t>ชมรมผู้สูงอายุวัดสารอด</t>
  </si>
  <si>
    <t>ชมรมผู้สูงอายุชุมพล96วัดสน</t>
  </si>
  <si>
    <t>ชมรมผู้สูงอายุร่มฉัตร</t>
  </si>
  <si>
    <t>ชมรมผู้สูงอายุวัดราษฎร์บูรณะ</t>
  </si>
  <si>
    <t>ชมรมผู้สูงอายุรวมน้ำใจ</t>
  </si>
  <si>
    <t>ศบส. 54 ทัศน์เอี่ยม</t>
  </si>
  <si>
    <t>ซอยประชาุทิศ 28</t>
  </si>
  <si>
    <t>หลังสวนธนบุรีรมย์</t>
  </si>
  <si>
    <t>อัตตักวา</t>
  </si>
  <si>
    <t>ชมรมผู้สูงอายุศบส. 59</t>
  </si>
  <si>
    <t>ชมรมผู้สูงอายุสินทวีสวนธน 2</t>
  </si>
  <si>
    <t>มะเร็งปอด</t>
  </si>
  <si>
    <t>ติดเชื้อในปอด</t>
  </si>
  <si>
    <t>เส้นเลือดตีบ</t>
  </si>
  <si>
    <t>ติดเชื้อปอด</t>
  </si>
  <si>
    <t>มกราคม</t>
  </si>
  <si>
    <t>กันยายน</t>
  </si>
  <si>
    <t>กรกฎาคม</t>
  </si>
  <si>
    <t>ท่อน้ำดีอักเสบฉับพลัน</t>
  </si>
  <si>
    <t>ไตวายเรื้อรัง</t>
  </si>
  <si>
    <t>กล้ามเนื้อหัวใจขาดเลือดจากโรคหลอดเลือดหัวใจตีบ</t>
  </si>
  <si>
    <t>ปอดอักเสบติดเชื้อ</t>
  </si>
  <si>
    <t>ชราภาพ</t>
  </si>
  <si>
    <t>ชราและติดเชื้อในกระแสเลือด</t>
  </si>
  <si>
    <t>ชราและมะเร็ง</t>
  </si>
  <si>
    <t>ชราและปอดติดเชื้อ</t>
  </si>
  <si>
    <t>ติดเชื้อในกระแสโลหิต</t>
  </si>
  <si>
    <t>ชรา</t>
  </si>
  <si>
    <t>ชราภาพ, ตายโดยธรรมชาติ</t>
  </si>
  <si>
    <t>ติดเชื้อ</t>
  </si>
  <si>
    <t>โรคประจำตัว</t>
  </si>
  <si>
    <t>มะเร็ง, ระบบหายใจไหลเวียนโลหิตล้มเหลว</t>
  </si>
  <si>
    <t>หัวใจขาดเลือด</t>
  </si>
  <si>
    <t>มะเร็ง, กล้ามเนื้อหัวใจขาดเลือด</t>
  </si>
  <si>
    <t>ติดเชื้อในกระแสเลือด, ภาวะหัวใจล้มเหลว, ปอดติดเชื้อ</t>
  </si>
  <si>
    <t>ภาวะหัวใจล้มเหลว, ติดเชื้อในกระแสเลือด</t>
  </si>
  <si>
    <t>ระบบสมอง/หัวใจขาดเลือด</t>
  </si>
  <si>
    <t>ความดัน/เบาหวาน</t>
  </si>
  <si>
    <t>ความดัน</t>
  </si>
  <si>
    <t>ป่วยโรคธรรมชาติ</t>
  </si>
  <si>
    <t>การหายใจล้มเหลว</t>
  </si>
  <si>
    <t>อักเสบเรื้อรัง, หัวใจวายเฉียบพลัน</t>
  </si>
  <si>
    <t>มะเร็ง, เบาหวาน</t>
  </si>
  <si>
    <t>มะเร็งที่ตับ</t>
  </si>
  <si>
    <t>หัวใจล้มเหลวเฉียบพลัน</t>
  </si>
  <si>
    <t>ระบบไหลเวียนโลหิตและหายใจล้มเหลว</t>
  </si>
  <si>
    <t>ฆ่าตัวตาย</t>
  </si>
  <si>
    <t>จากภาวะติดเชื้อ</t>
  </si>
  <si>
    <t>ปอดอักเสบ</t>
  </si>
  <si>
    <t>โรคชราภาพ</t>
  </si>
  <si>
    <t>จำนวนผู้สูงอายุที่มีความพิการ</t>
  </si>
  <si>
    <t>กรุงเทพมหานคร</t>
  </si>
  <si>
    <t>ตั้งแต่ 100 ปี</t>
  </si>
  <si>
    <t>ชมรมผู้สูงอายุศูนย์บริการสาธารณสุข 11</t>
  </si>
  <si>
    <t>ชมรมผู้สูงอายุวัดมะกอกกลางสวน</t>
  </si>
  <si>
    <t>จำนวนผู้เตรียมเข้าสู่วัยสูงอายุ (56 - 59 ปี)</t>
  </si>
  <si>
    <t>สมาชิกชมรมผู้สูงอายุรวม</t>
  </si>
  <si>
    <t>ร้อยละเพศชาย</t>
  </si>
  <si>
    <t>ร้อยละ เพศหญิง</t>
  </si>
  <si>
    <t>จำนวนประชากรตามช่วงอายุ</t>
  </si>
  <si>
    <t>Dash board แสดงข้อมูลผู้สูงอายุรายเขต ของกรุงเทพมหานคร ณ วันที่ 31 มกราคม 2563</t>
  </si>
  <si>
    <t>จำนวนการเสียชีวิตของผู้สูงอายุ (ม.ค. - ธ.ค. 63)</t>
  </si>
  <si>
    <t>ผู้สูงอายุวัยปลาย &gt;80 ปี</t>
  </si>
  <si>
    <t>ผู้สูงอายุวัยกลาง 70 - 79 ปี</t>
  </si>
  <si>
    <t>ผู้สูงอายุวัยต้น 60 - 69 ปี</t>
  </si>
  <si>
    <t>อัตราการเสียชีวิตของผู้สูงอายุ</t>
  </si>
  <si>
    <t>จำนวนผู้สูงอายุที่ไม่ได้รับเบี้ยยังชีพ</t>
  </si>
  <si>
    <t>ภาวะหัวใจล้มเหลว</t>
  </si>
  <si>
    <t>หกล้ม/ปอดติเชื้อ</t>
  </si>
  <si>
    <t>ภาวะหัวใจล้มเหลว/หกล้ม</t>
  </si>
  <si>
    <t>ติดเชื้อในกระแสเลือด/โรคชรา</t>
  </si>
  <si>
    <t>ตับวาย</t>
  </si>
  <si>
    <t>หลอดเลือดสมอง</t>
  </si>
  <si>
    <t>ปอดอักเสบ/ติดเชื้อ</t>
  </si>
  <si>
    <t>กล้ามเนื้อหัวใจขาดเลือด</t>
  </si>
  <si>
    <t>กล้ามเนื้อหัวใจขาดเลือด,มะเร็งเยื่อบุมดลูกระยะแพร่กระจาย</t>
  </si>
  <si>
    <t>มะเร็งปอด,ปอดอักเสบ</t>
  </si>
  <si>
    <t>มะเร็งปอด,ชราภาพ</t>
  </si>
  <si>
    <t>ติดเชื้อในกระแสเลือด,เส้นเลือดในสมองตีบ,ชราภาพ</t>
  </si>
  <si>
    <t>เส้นเลือดในสมองตีบ,ไตวายเฉียบพลัน,ชราภาพ</t>
  </si>
  <si>
    <t>ติดเชื่อในกระแสเลีือด</t>
  </si>
  <si>
    <t>หัวใจวาย</t>
  </si>
  <si>
    <t>ระบบหายใจล้มเหลวและไหลเวียนโลหิตล้มเหลว</t>
  </si>
  <si>
    <t>ภาวะเลือดออกในทางเดินอาหาร</t>
  </si>
  <si>
    <t>มะเร็งปากมดลูกแพร่กระจาย</t>
  </si>
  <si>
    <t>เบาหวาน</t>
  </si>
  <si>
    <t>ภาวะการติดเชื้อ</t>
  </si>
  <si>
    <t>ชมรม 1</t>
  </si>
  <si>
    <t>จำนวน</t>
  </si>
  <si>
    <t>ชมรม 2</t>
  </si>
  <si>
    <t>ชมรม 3</t>
  </si>
  <si>
    <t>ชมรม 4</t>
  </si>
  <si>
    <t>ชมรม 5</t>
  </si>
  <si>
    <t>ชมรม 6</t>
  </si>
  <si>
    <t>ชมรม 7</t>
  </si>
  <si>
    <t>ชมรม 8</t>
  </si>
  <si>
    <t>ชมรม 9</t>
  </si>
  <si>
    <t>ชมรม 10</t>
  </si>
  <si>
    <t>ชมรม 11</t>
  </si>
  <si>
    <t>ชมรมผู้สูงอายุศูนย์บริการสาธารณสุข 9 ประชาธิปไตย</t>
  </si>
  <si>
    <t>ชมรมผู้สูงอายุรวมใจพัฒน์</t>
  </si>
  <si>
    <t>ชมรมผู้สูงอายุวัดอินทรวิหาร</t>
  </si>
  <si>
    <t>ชมรมผู้สูงอายุวัดใหม่อมตรส</t>
  </si>
  <si>
    <t>ชมรมเขียนนิวาสน์-ตรอกไก่แจ้</t>
  </si>
  <si>
    <t>ชมรมศูนย์บริการสาธารณสุข 1 สะพานมอญ</t>
  </si>
  <si>
    <t>ชมรม 12</t>
  </si>
  <si>
    <t>ชมรม 13</t>
  </si>
  <si>
    <t>ศุนย์บริการสาธารณสุข 38 จี๊ด- ทองคำ บำเพ็ญ</t>
  </si>
  <si>
    <t>วัดประชาระบือธรรม</t>
  </si>
  <si>
    <t>วัดสวัสดิ์วารีสีมาราม</t>
  </si>
  <si>
    <t>ศูนย์บริการสาธารณสุข 6 สโมสรวัฒนธรรมหญิง</t>
  </si>
  <si>
    <t>ท่าน้ำสามเสน</t>
  </si>
  <si>
    <t>สุโขทัยซอย 9</t>
  </si>
  <si>
    <t>หลังบ้านมนังคศิลา</t>
  </si>
  <si>
    <t>วชิรพยาบาล</t>
  </si>
  <si>
    <t>ชมรมผู้สูงอายุศูนย์บริการสาธารณสุข52สามเสนนอก</t>
  </si>
  <si>
    <t>สำนักงานเขตห้วยขวาง</t>
  </si>
  <si>
    <t>ชุมชนบึงพระราม 9</t>
  </si>
  <si>
    <t>ชุมชนบึงพระราม 9 พัฒนา</t>
  </si>
  <si>
    <t>ชมรมผู้สูงอายุชุมชนหมู่บ้านพลับพลา</t>
  </si>
  <si>
    <t>ชมรมผู้สูงอายุศูนย์5 จุฬาลงกรณ์</t>
  </si>
  <si>
    <t>ชมรมผู้สูงอายุศูนยื 16 ลุมพินี</t>
  </si>
  <si>
    <t>ชมรมผู้สูงอายุบางรัก</t>
  </si>
  <si>
    <t>ชมรมผู้สูงอายุศูนย์บริการสาธารณสุข7 บุญมี ปุรุราชรังสรรค์</t>
  </si>
  <si>
    <t>ชมรมผู้สูงอายุโสณมัย-อร่ามดวง</t>
  </si>
  <si>
    <t>ชมรมผู้สูงอายุสุเหร่าบางมะเขือ มีสุวรรณ 2 มีสุวรรณ 3</t>
  </si>
  <si>
    <t>ชมรมผู้สูงวัยใส่ใจสุขภาพ (บ้านดอน)</t>
  </si>
  <si>
    <t>ชมรมผู้สูงอายุวัดวชิรธรรมสาธิต</t>
  </si>
  <si>
    <t>ชมรมผู้สูงอายุวัดบุญรอดธรรมาราม</t>
  </si>
  <si>
    <t>ชมรมผู้สูงอายุหมู่บ้านศรัณจิต</t>
  </si>
  <si>
    <t>ชมรมผู้สูงอายุศูนย์บริการ สาธารณสุข 37 (ประสงค์ - สุดสาคร ตู้จินดา)</t>
  </si>
  <si>
    <t>ชมรมผุ้สูงอาายุชุมชนหมู่บ้านฮอลลีวู้ด</t>
  </si>
  <si>
    <t>ชมรมผู้สูงอายุชมชนร่วมพัฒนาบ้านป่า</t>
  </si>
  <si>
    <t>ชุมชนนครหลวง</t>
  </si>
  <si>
    <t>ชุมชนเสนานิคม 2</t>
  </si>
  <si>
    <t>หมู่บ้านรุ่งเจริญ</t>
  </si>
  <si>
    <t>ร่วมใจสามัคคี</t>
  </si>
  <si>
    <t>ชุมชนประดิษฐ์โทรการ</t>
  </si>
  <si>
    <t>ชุมชนร่วมใจ 1</t>
  </si>
  <si>
    <t>ชุมชนร่วมใจ 2</t>
  </si>
  <si>
    <t>ชุมชนภักดี</t>
  </si>
  <si>
    <t>ชุมชนไทรคู่</t>
  </si>
  <si>
    <t>ชุมชนหนองจุฬา</t>
  </si>
  <si>
    <t>ชุมชนพรรณี</t>
  </si>
  <si>
    <t>ศูนย์สาธารณสุข 17</t>
  </si>
  <si>
    <t>ศบส.3 บางซื่อ</t>
  </si>
  <si>
    <t>สีน้ำเงิน 1</t>
  </si>
  <si>
    <t>ศบส.19 วงศ์สว่าง</t>
  </si>
  <si>
    <t>ชมรมผู้สูงอายุเขตลาดพร้าว</t>
  </si>
  <si>
    <t>ชมรมผู้สูงอายุชุมชนเคหะทุ่งสองห้อง 318</t>
  </si>
  <si>
    <t>ชมรมผู้สูงอายุชุมชนเคหะบางบัว</t>
  </si>
  <si>
    <t>ชมรมผู้สูงอายุศูนย์บริการสาธารณุสุข 53</t>
  </si>
  <si>
    <t>ศูนย์บริการสาธารณสุข 60 รสสุคนธ์ มโนชญากร</t>
  </si>
  <si>
    <t>ร่วมใจพัฒนา กรป. กลาง</t>
  </si>
  <si>
    <t>เปรมประชา</t>
  </si>
  <si>
    <t>ปิ่นเจริญ 3 ศรีเลิศ สามัคคี</t>
  </si>
  <si>
    <t>ปิ่นเจริญ 3</t>
  </si>
  <si>
    <t>บูรพา 12</t>
  </si>
  <si>
    <t>โกสุมรวมใจ 3</t>
  </si>
  <si>
    <t>ฝั่งโขงดอนเมือง</t>
  </si>
  <si>
    <t>สะพานปูน</t>
  </si>
  <si>
    <t>ธนินทร 1</t>
  </si>
  <si>
    <t>ร่วมมิตรแรงศรัทธา</t>
  </si>
  <si>
    <t>บูรพา 24</t>
  </si>
  <si>
    <t>ร่มไทรงามพัฒนา</t>
  </si>
  <si>
    <t>เคหะสถานครูไทย</t>
  </si>
  <si>
    <t>อยู่เจริญ บุญมา</t>
  </si>
  <si>
    <t>ยิ่งโอฬาร</t>
  </si>
  <si>
    <t>สตรีเหล็กพัฒนา</t>
  </si>
  <si>
    <t>ปิ่นเจริญ 4</t>
  </si>
  <si>
    <t>ไทเทยิ่น</t>
  </si>
  <si>
    <t>แหลมทองนิเวศน์</t>
  </si>
  <si>
    <t>หมู่บ้านทัดชาวิลล่า</t>
  </si>
  <si>
    <t>ปิ่นเจริญ 2</t>
  </si>
  <si>
    <t>ปิ่นเจริญ 2/1</t>
  </si>
  <si>
    <t>ดาวทอง</t>
  </si>
  <si>
    <t>บูรพา 18</t>
  </si>
  <si>
    <t>วังทอง</t>
  </si>
  <si>
    <t>ดอนเมืองวิลล่า</t>
  </si>
  <si>
    <t>บัณฑิตโฮม</t>
  </si>
  <si>
    <t>หลังวัดไผ่เขียว</t>
  </si>
  <si>
    <t>ศูนย์สร้างสุขทุกวัย</t>
  </si>
  <si>
    <t>ชมรม 14</t>
  </si>
  <si>
    <t>ชมรม 15</t>
  </si>
  <si>
    <t>ชมรม 16</t>
  </si>
  <si>
    <t>ชมรม 17</t>
  </si>
  <si>
    <t>ชมรม 18</t>
  </si>
  <si>
    <t>ชมรม 19</t>
  </si>
  <si>
    <t>ชมรม 20</t>
  </si>
  <si>
    <t>ชมรม 21</t>
  </si>
  <si>
    <t>ชมรม 22</t>
  </si>
  <si>
    <t>ชมรม 23</t>
  </si>
  <si>
    <t>ชมรม 24</t>
  </si>
  <si>
    <t>ชมรม 25</t>
  </si>
  <si>
    <t>ชมรม 26</t>
  </si>
  <si>
    <t>ชมรม 27</t>
  </si>
  <si>
    <t>ชมรม 28</t>
  </si>
  <si>
    <t>ชมรม 29</t>
  </si>
  <si>
    <t>ชมรม 30</t>
  </si>
  <si>
    <t>ชมรม 31</t>
  </si>
  <si>
    <t>ชมรมผู้สูงอายุศูนย์บริการสาธารณสุข 61 สังวาลย์ ทัสนารมย์ (ชุมชนประชานุกูล)</t>
  </si>
  <si>
    <t>ชมรมผู้สูงอายุหมู่บ้านณัฐานต์ 3,5</t>
  </si>
  <si>
    <t>ชมรมผู้สูงอายุชุมชนรุ่งเรืองเฮาส์</t>
  </si>
  <si>
    <t>ชุมชนสุขส้นต์26</t>
  </si>
  <si>
    <t>ไทเก๊กซี่กงสัมมากร</t>
  </si>
  <si>
    <t>หมู่บ้านพฤกชาติ</t>
  </si>
  <si>
    <t>หมู่บ้านเคหะนคร</t>
  </si>
  <si>
    <t>สุข - สุขภาพ</t>
  </si>
  <si>
    <t>หมู่้บ้านโฮมเพลส</t>
  </si>
  <si>
    <t>มัสยิดย่ามีลุ้ลอิบาดะห์</t>
  </si>
  <si>
    <t>บ้านม้าเกาะล่าง</t>
  </si>
  <si>
    <t>ชมรมผู้สูงอายุศูนย์บริการสธาณสุข 50 บึงกุ่ม</t>
  </si>
  <si>
    <t>ชมรมผู้สูงอายุชุมชน 201 (หลังคาแดง) ร่มเกล้า</t>
  </si>
  <si>
    <t>ชมรมส่งเสริมสุขภาพผู้สูงอายุเคหะร่มเกล้า โซน 4 ร่มเกล้า</t>
  </si>
  <si>
    <t>ชมรมผู้สูงอายุชุมชนเคหะนคร</t>
  </si>
  <si>
    <t>ชมรมผู้สูงอายุศูนย์บริการสาธารณสุข 43 มีนบรี</t>
  </si>
  <si>
    <t>ชมรมผู้สูงอายุศูนย์สร้างสุขทุกวัย มีนบุรี</t>
  </si>
  <si>
    <t>ชมรมผู้สูงอายุเคซี1</t>
  </si>
  <si>
    <t>ชมรมผู้สุงาอยุหมู่บ้านเสรีอ่อนนุช</t>
  </si>
  <si>
    <t>ชมรมดนตรีนาฎศิลป์ โรงพยาบาลสิรินธร</t>
  </si>
  <si>
    <t>ผู้สูงอายุชุมชนตรอกสะพานขาว</t>
  </si>
  <si>
    <t>มรมผู้สูงอายุเขตคลองสาน</t>
  </si>
  <si>
    <t>ชมรมผู้สูงอายุศูนย์บริการสาธารณสุข 29 ช่วง นุชเนตร</t>
  </si>
  <si>
    <t>ชมรมผู้สูงอายุภานุมาภรณ์ (จอมทอง 3)</t>
  </si>
  <si>
    <t>กลุ่มกิจกรรมผู้สูงอายุชุมชนมะลิ 2</t>
  </si>
  <si>
    <t>ผู้สูงอายุวัดรวกสุทธาราม</t>
  </si>
  <si>
    <t>ชมรมผู้สูงอายุศูนย์สาธารณสุข 49 วัดชัยพฤกษมาลา</t>
  </si>
  <si>
    <t>ชมรมผู้สูงอายุร่วมเกื้อ</t>
  </si>
  <si>
    <t>ชมรมผู้สูงอายุธารถวิล</t>
  </si>
  <si>
    <t>วัดจันทร์ประดิษบาราม</t>
  </si>
  <si>
    <t>ศูนย์บริการศาสธารณสุข 62ฯตวงรัชฏ์</t>
  </si>
  <si>
    <t>ชมรมผู้สูงอายุศูนย์บริการสาธารณสุข 40 บางแค</t>
  </si>
  <si>
    <t>ชมรมผู้สูงอายุศิริเกษม 1</t>
  </si>
  <si>
    <t>ชมรมผู้สูงอายุและสวัสดิการชุมชนเลียบคลองทวีวัฒนา</t>
  </si>
  <si>
    <t>ชมรมผู้สูงอายุสามัคคีศิริเกษม 2</t>
  </si>
  <si>
    <t>ชมรมผู้สูงอายุเทวินรวมใจ</t>
  </si>
  <si>
    <t>ชมรมผู้สูงอายุและสวัสดิการทองพูนพัฒนา</t>
  </si>
  <si>
    <t>ชมรมผู้สูงอายุชุมชนจั่นแก้ว</t>
  </si>
  <si>
    <t>บางขชุนเทียน</t>
  </si>
  <si>
    <t>เพชรทองคำ</t>
  </si>
  <si>
    <t>สโมสรพลเมืองอาวุโส</t>
  </si>
  <si>
    <t>ทรัพนย์นุกูลพัฒนา</t>
  </si>
  <si>
    <t>เคหะชุมชนธนบุรี โครงการ 3</t>
  </si>
  <si>
    <t>ร่วมมิตรสัมพันธ์ 45</t>
  </si>
  <si>
    <t>สุขใจ</t>
  </si>
  <si>
    <t>แสงธรรม</t>
  </si>
  <si>
    <t>จิตต์สัมพันธ์</t>
  </si>
  <si>
    <t>เทพนิมิตร</t>
  </si>
  <si>
    <t>หลวงพ่อขาว</t>
  </si>
  <si>
    <t>คลองสนามชัย</t>
  </si>
  <si>
    <t>อริยธรรม</t>
  </si>
  <si>
    <t>ทรัพย์สินพัฒนา</t>
  </si>
  <si>
    <t>ชัยมงคล</t>
  </si>
  <si>
    <t>ศิษย์หลวงปู่มิ่ง</t>
  </si>
  <si>
    <t>พิศาลสัมพันธ์</t>
  </si>
  <si>
    <t>ศูนย์บริการสารธารณสุข 42 ถนอม ทองสิมา</t>
  </si>
  <si>
    <t>หมู่บ้านพระราม 2</t>
  </si>
  <si>
    <t>เต้าเต๋อซิ่นซี</t>
  </si>
  <si>
    <t>ชมรมผู้สูงอายุศูนย์บริการสาธารณสุข 54 ทัศน์เอี่ยม</t>
  </si>
  <si>
    <t>ชมรมผู้สูงอายุหมู่ 2 บางมด</t>
  </si>
  <si>
    <t>ชมรมผู้สูงอายุหลังสวนธนบุรีรมย์</t>
  </si>
  <si>
    <t>ชมรมผู้สูงอายุอัตตักวา</t>
  </si>
  <si>
    <t>ชมรมผู้สูงอายุศูนย์บริการสาธารณสุข 59 ทุ่งครุ</t>
  </si>
  <si>
    <t>ชมรมผู้สูงอายุ ชุมชนซอยกำนันแม้น 13</t>
  </si>
  <si>
    <t>ศูนย์การเรียนรู้ผู้สูงอายุ ศูนย์การเรียนรู้ผู้สูงอายุ</t>
  </si>
  <si>
    <t>ศูนย์ส่งเสริมสุขภาพผู้สูงอายุ ศูนย์บริการสาธารณสุข 65</t>
  </si>
  <si>
    <t>ๅ</t>
  </si>
  <si>
    <t>เพศ</t>
  </si>
  <si>
    <t>จำนวนการเสียชีวิตของผู้สูงอายุ</t>
  </si>
  <si>
    <t>จำนวนผู้สูงอายุที่ได้รับเบี้ยยังชีพผู้สูงอายุ</t>
  </si>
  <si>
    <t>จำนวนผู้สูงอายุที่ได้รับเบี้ยความพิการ</t>
  </si>
  <si>
    <t>จำนวนผู้สูงอายุที่ได้รับบัตรสวัสดิการแห่งรัฐ</t>
  </si>
  <si>
    <t>จำนวนผู้สูงอายุที่อยู่บ้านตามลำพัง</t>
  </si>
  <si>
    <t>จำนวนชมรมผู้สูงอายุ</t>
  </si>
  <si>
    <t>จำนวนสมาชิกชมรมผู้สูงอายุ</t>
  </si>
  <si>
    <t>ชมรมผู้สูงอายุศูนย์บริการสาธารณสุข 32 มาริษ ตินตมุสิก </t>
  </si>
  <si>
    <t>ชมรมผู้สูงอายุโซนเพี้ยนพิน </t>
  </si>
  <si>
    <t>ชมรมผู้สูงอายุศูนย์บริการสาธารณสุข 8 บุญรอดรุ่งเรือง </t>
  </si>
  <si>
    <t>ชมรมผู้สูงอายุอุดมสุข </t>
  </si>
  <si>
    <t>ชมรมผู้สูงอายุชุมชนบัวเกิด </t>
  </si>
  <si>
    <t>ชมรมผู้สูงอายุชมชนเรวัตินิเวศน์ </t>
  </si>
  <si>
    <t>ลำดับที่</t>
  </si>
  <si>
    <t>กรุณาเลือกเขตเพื่อแสดงข้อมูล &gt;&gt;&gt;</t>
  </si>
  <si>
    <t>กลุ่มเขต</t>
  </si>
  <si>
    <t>จำนวนประชากร</t>
  </si>
  <si>
    <t>samphanthawong</t>
  </si>
  <si>
    <t>กรุงเทพกลาง</t>
  </si>
  <si>
    <t>กรุงเทพใต้</t>
  </si>
  <si>
    <t>กรุงธนเหนือ</t>
  </si>
  <si>
    <t>กรุงเทพตะวันออก</t>
  </si>
  <si>
    <t>กรุงเทพเหนือ</t>
  </si>
  <si>
    <t>กรุงธนใต้</t>
  </si>
  <si>
    <t>อัตราผู้สูงอายุ</t>
  </si>
  <si>
    <t>เลือกชุดข้อมูลที่ต้องการแสดงผล</t>
  </si>
  <si>
    <t>ผู้สูงอายุชาย</t>
  </si>
  <si>
    <t>ผู้สูงอายุหญิง</t>
  </si>
  <si>
    <t>ผู้สูงอายุรวม</t>
  </si>
  <si>
    <t>ข้อมูล ณ วันที่ 31 มกราคม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</si>
</sst>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4"/>
      <name val="TH SarabunPSK"/>
      <family val="2"/>
    </font>
    <font>
      <b/>
      <sz val="16"/>
      <name val="TH SarabunIT๙"/>
      <family val="2"/>
    </font>
    <font>
      <i/>
      <sz val="14"/>
      <name val="TH SarabunPSK"/>
      <family val="2"/>
    </font>
    <font>
      <sz val="13"/>
      <name val="TH SarabunPSK"/>
      <family val="2"/>
    </font>
    <font>
      <sz val="14"/>
      <color theme="1"/>
      <name val="TH SarabunPSK"/>
      <family val="2"/>
    </font>
    <font>
      <i/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u/>
      <sz val="18"/>
      <color theme="1"/>
      <name val="TH SarabunPSK"/>
      <family val="2"/>
    </font>
    <font>
      <sz val="40"/>
      <color theme="1"/>
      <name val="TH SarabunPSK"/>
      <family val="2"/>
    </font>
    <font>
      <b/>
      <sz val="40"/>
      <color theme="1"/>
      <name val="TH SarabunPSK"/>
      <family val="2"/>
    </font>
    <font>
      <sz val="8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1"/>
      <color theme="0"/>
      <name val="Calibri"/>
      <family val="2"/>
      <charset val="222"/>
      <scheme val="minor"/>
    </font>
    <font>
      <sz val="20"/>
      <color theme="1"/>
      <name val="TH SarabunPSK"/>
      <family val="2"/>
    </font>
    <font>
      <b/>
      <sz val="20"/>
      <name val="TH SarabunPSK"/>
      <family val="2"/>
    </font>
    <font>
      <sz val="18"/>
      <color theme="1"/>
      <name val="The Hand"/>
      <family val="4"/>
    </font>
    <font>
      <b/>
      <sz val="26"/>
      <color theme="0"/>
      <name val="TH SarabunPSK"/>
      <family val="2"/>
    </font>
    <font>
      <sz val="26"/>
      <color theme="1"/>
      <name val="TH SarabunPSK"/>
      <family val="2"/>
    </font>
    <font>
      <sz val="16"/>
      <name val="TH SarabunPSK"/>
      <family val="2"/>
    </font>
    <font>
      <b/>
      <sz val="26"/>
      <color theme="1"/>
      <name val="TH SarabunPSK"/>
      <family val="2"/>
    </font>
    <font>
      <sz val="10"/>
      <color theme="1"/>
      <name val="Calibri"/>
      <family val="2"/>
      <scheme val="minor"/>
    </font>
    <font>
      <sz val="11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b/>
      <sz val="24"/>
      <color rgb="FF002060"/>
      <name val="TH SarabunPSK"/>
      <family val="2"/>
    </font>
    <font>
      <sz val="10"/>
      <name val="MS Sans Serif"/>
      <family val="2"/>
      <charset val="222"/>
    </font>
    <font>
      <sz val="14"/>
      <name val="BrowalliaUPC"/>
      <family val="2"/>
    </font>
    <font>
      <b/>
      <sz val="14"/>
      <name val="TH SarabunPSK"/>
      <family val="2"/>
    </font>
    <font>
      <sz val="16"/>
      <name val="TH SarabunPSK"/>
      <family val="2"/>
      <charset val="222"/>
    </font>
    <font>
      <sz val="16"/>
      <color rgb="FF202122"/>
      <name val="TH SarabunPSK"/>
      <family val="2"/>
    </font>
    <font>
      <sz val="14"/>
      <name val="TH SarabunPSK"/>
      <family val="2"/>
      <charset val="222"/>
    </font>
    <font>
      <b/>
      <sz val="20"/>
      <color theme="1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5" tint="0.79998168889431442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theme="5" tint="0.39997558519241921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/>
    <xf numFmtId="0" fontId="36" fillId="0" borderId="0"/>
  </cellStyleXfs>
  <cellXfs count="320">
    <xf numFmtId="0" fontId="0" fillId="0" borderId="0" xfId="0"/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0" fontId="2" fillId="3" borderId="2" xfId="1" applyNumberFormat="1" applyFont="1" applyFill="1" applyBorder="1" applyAlignment="1">
      <alignment horizontal="center"/>
    </xf>
    <xf numFmtId="164" fontId="2" fillId="4" borderId="4" xfId="1" applyNumberFormat="1" applyFont="1" applyFill="1" applyBorder="1" applyAlignment="1">
      <alignment horizontal="center" vertical="center"/>
    </xf>
    <xf numFmtId="164" fontId="2" fillId="5" borderId="5" xfId="1" applyNumberFormat="1" applyFont="1" applyFill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4" fontId="2" fillId="4" borderId="2" xfId="1" applyNumberFormat="1" applyFont="1" applyFill="1" applyBorder="1" applyAlignment="1">
      <alignment horizontal="center"/>
    </xf>
    <xf numFmtId="164" fontId="2" fillId="5" borderId="7" xfId="1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center" vertical="center"/>
    </xf>
    <xf numFmtId="164" fontId="4" fillId="5" borderId="8" xfId="1" applyNumberFormat="1" applyFont="1" applyFill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center"/>
    </xf>
    <xf numFmtId="164" fontId="4" fillId="5" borderId="5" xfId="1" applyNumberFormat="1" applyFont="1" applyFill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0" borderId="0" xfId="1" applyNumberFormat="1" applyFont="1"/>
    <xf numFmtId="164" fontId="5" fillId="0" borderId="0" xfId="1" applyNumberFormat="1" applyFont="1" applyAlignment="1">
      <alignment horizontal="center"/>
    </xf>
    <xf numFmtId="0" fontId="6" fillId="2" borderId="0" xfId="0" applyFont="1" applyFill="1" applyAlignment="1">
      <alignment horizontal="left"/>
    </xf>
    <xf numFmtId="164" fontId="7" fillId="4" borderId="9" xfId="1" applyNumberFormat="1" applyFont="1" applyFill="1" applyBorder="1" applyAlignment="1">
      <alignment horizontal="center" vertical="center"/>
    </xf>
    <xf numFmtId="164" fontId="7" fillId="5" borderId="10" xfId="1" applyNumberFormat="1" applyFont="1" applyFill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vertical="center"/>
    </xf>
    <xf numFmtId="164" fontId="8" fillId="4" borderId="12" xfId="1" applyNumberFormat="1" applyFont="1" applyFill="1" applyBorder="1" applyAlignment="1">
      <alignment horizontal="center" vertical="center"/>
    </xf>
    <xf numFmtId="164" fontId="8" fillId="5" borderId="13" xfId="1" applyNumberFormat="1" applyFont="1" applyFill="1" applyBorder="1" applyAlignment="1">
      <alignment horizontal="center" vertical="center"/>
    </xf>
    <xf numFmtId="164" fontId="8" fillId="0" borderId="14" xfId="1" applyNumberFormat="1" applyFont="1" applyBorder="1" applyAlignment="1">
      <alignment horizontal="center" vertical="center"/>
    </xf>
    <xf numFmtId="164" fontId="5" fillId="4" borderId="15" xfId="1" applyNumberFormat="1" applyFont="1" applyFill="1" applyBorder="1" applyAlignment="1">
      <alignment horizontal="center"/>
    </xf>
    <xf numFmtId="164" fontId="5" fillId="5" borderId="16" xfId="1" applyNumberFormat="1" applyFont="1" applyFill="1" applyBorder="1" applyAlignment="1">
      <alignment horizontal="center"/>
    </xf>
    <xf numFmtId="164" fontId="8" fillId="0" borderId="17" xfId="1" applyNumberFormat="1" applyFont="1" applyBorder="1" applyAlignment="1">
      <alignment horizontal="center"/>
    </xf>
    <xf numFmtId="164" fontId="5" fillId="0" borderId="0" xfId="1" applyNumberFormat="1" applyFont="1"/>
    <xf numFmtId="164" fontId="7" fillId="4" borderId="18" xfId="1" applyNumberFormat="1" applyFont="1" applyFill="1" applyBorder="1" applyAlignment="1">
      <alignment horizontal="center" vertical="center"/>
    </xf>
    <xf numFmtId="164" fontId="7" fillId="5" borderId="16" xfId="1" applyNumberFormat="1" applyFont="1" applyFill="1" applyBorder="1" applyAlignment="1">
      <alignment horizontal="center" vertical="center"/>
    </xf>
    <xf numFmtId="164" fontId="7" fillId="0" borderId="19" xfId="1" applyNumberFormat="1" applyFont="1" applyBorder="1" applyAlignment="1">
      <alignment horizontal="center" vertical="center"/>
    </xf>
    <xf numFmtId="164" fontId="5" fillId="4" borderId="16" xfId="1" applyNumberFormat="1" applyFont="1" applyFill="1" applyBorder="1" applyAlignment="1">
      <alignment horizontal="center"/>
    </xf>
    <xf numFmtId="164" fontId="8" fillId="4" borderId="20" xfId="1" applyNumberFormat="1" applyFont="1" applyFill="1" applyBorder="1" applyAlignment="1">
      <alignment horizontal="center" vertical="center"/>
    </xf>
    <xf numFmtId="164" fontId="8" fillId="5" borderId="21" xfId="1" applyNumberFormat="1" applyFont="1" applyFill="1" applyBorder="1" applyAlignment="1">
      <alignment horizontal="center" vertical="center"/>
    </xf>
    <xf numFmtId="164" fontId="8" fillId="0" borderId="22" xfId="1" applyNumberFormat="1" applyFont="1" applyBorder="1" applyAlignment="1">
      <alignment horizontal="center" vertical="center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10" fillId="0" borderId="0" xfId="1" applyNumberFormat="1" applyFont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/>
    </xf>
    <xf numFmtId="164" fontId="2" fillId="2" borderId="23" xfId="1" applyNumberFormat="1" applyFont="1" applyFill="1" applyBorder="1" applyAlignment="1">
      <alignment horizontal="center" vertical="center"/>
    </xf>
    <xf numFmtId="164" fontId="2" fillId="2" borderId="24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164" fontId="17" fillId="2" borderId="19" xfId="1" applyNumberFormat="1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/>
    </xf>
    <xf numFmtId="164" fontId="17" fillId="2" borderId="1" xfId="1" applyNumberFormat="1" applyFont="1" applyFill="1" applyBorder="1" applyAlignment="1">
      <alignment horizontal="right" vertical="center"/>
    </xf>
    <xf numFmtId="164" fontId="17" fillId="2" borderId="28" xfId="1" applyNumberFormat="1" applyFont="1" applyFill="1" applyBorder="1" applyAlignment="1">
      <alignment horizontal="right" vertical="center"/>
    </xf>
    <xf numFmtId="164" fontId="19" fillId="0" borderId="0" xfId="1" applyNumberFormat="1" applyFont="1" applyAlignment="1">
      <alignment horizontal="right"/>
    </xf>
    <xf numFmtId="164" fontId="19" fillId="0" borderId="0" xfId="1" applyNumberFormat="1" applyFont="1"/>
    <xf numFmtId="164" fontId="19" fillId="0" borderId="30" xfId="1" applyNumberFormat="1" applyFont="1" applyBorder="1" applyAlignment="1">
      <alignment horizontal="center" vertical="center"/>
    </xf>
    <xf numFmtId="164" fontId="19" fillId="0" borderId="5" xfId="1" applyNumberFormat="1" applyFont="1" applyBorder="1"/>
    <xf numFmtId="164" fontId="18" fillId="2" borderId="32" xfId="1" applyNumberFormat="1" applyFont="1" applyFill="1" applyBorder="1" applyAlignment="1">
      <alignment horizontal="right"/>
    </xf>
    <xf numFmtId="164" fontId="19" fillId="0" borderId="13" xfId="1" applyNumberFormat="1" applyFont="1" applyBorder="1"/>
    <xf numFmtId="164" fontId="18" fillId="2" borderId="19" xfId="1" applyNumberFormat="1" applyFont="1" applyFill="1" applyBorder="1" applyAlignment="1">
      <alignment horizontal="right"/>
    </xf>
    <xf numFmtId="164" fontId="19" fillId="4" borderId="29" xfId="1" applyNumberFormat="1" applyFont="1" applyFill="1" applyBorder="1" applyAlignment="1">
      <alignment horizontal="center" vertical="center"/>
    </xf>
    <xf numFmtId="164" fontId="19" fillId="4" borderId="4" xfId="1" applyNumberFormat="1" applyFont="1" applyFill="1" applyBorder="1"/>
    <xf numFmtId="164" fontId="19" fillId="4" borderId="12" xfId="1" applyNumberFormat="1" applyFont="1" applyFill="1" applyBorder="1"/>
    <xf numFmtId="164" fontId="19" fillId="7" borderId="30" xfId="1" applyNumberFormat="1" applyFont="1" applyFill="1" applyBorder="1" applyAlignment="1">
      <alignment horizontal="center" vertical="center"/>
    </xf>
    <xf numFmtId="164" fontId="19" fillId="7" borderId="5" xfId="1" applyNumberFormat="1" applyFont="1" applyFill="1" applyBorder="1"/>
    <xf numFmtId="164" fontId="19" fillId="7" borderId="13" xfId="1" applyNumberFormat="1" applyFont="1" applyFill="1" applyBorder="1"/>
    <xf numFmtId="164" fontId="19" fillId="9" borderId="5" xfId="1" applyNumberFormat="1" applyFont="1" applyFill="1" applyBorder="1"/>
    <xf numFmtId="164" fontId="19" fillId="9" borderId="13" xfId="1" applyNumberFormat="1" applyFont="1" applyFill="1" applyBorder="1"/>
    <xf numFmtId="164" fontId="19" fillId="9" borderId="3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9" borderId="15" xfId="0" applyFont="1" applyFill="1" applyBorder="1" applyAlignment="1">
      <alignment vertical="center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6" xfId="0" applyFont="1" applyFill="1" applyBorder="1"/>
    <xf numFmtId="0" fontId="19" fillId="9" borderId="16" xfId="0" applyFont="1" applyFill="1" applyBorder="1" applyAlignment="1">
      <alignment horizontal="center" wrapText="1"/>
    </xf>
    <xf numFmtId="0" fontId="6" fillId="7" borderId="32" xfId="0" applyFont="1" applyFill="1" applyBorder="1" applyAlignment="1">
      <alignment horizontal="right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/>
    <xf numFmtId="0" fontId="19" fillId="0" borderId="16" xfId="0" applyFont="1" applyBorder="1" applyAlignment="1">
      <alignment horizontal="center" wrapText="1"/>
    </xf>
    <xf numFmtId="0" fontId="6" fillId="7" borderId="19" xfId="0" applyFont="1" applyFill="1" applyBorder="1" applyAlignment="1">
      <alignment horizontal="right"/>
    </xf>
    <xf numFmtId="3" fontId="19" fillId="0" borderId="16" xfId="0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164" fontId="0" fillId="0" borderId="18" xfId="1" applyNumberFormat="1" applyFon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12" fillId="0" borderId="0" xfId="0" applyFont="1" applyAlignment="1" applyProtection="1">
      <alignment horizontal="center"/>
    </xf>
    <xf numFmtId="164" fontId="11" fillId="0" borderId="0" xfId="1" applyNumberFormat="1" applyFont="1" applyAlignment="1" applyProtection="1">
      <alignment horizontal="center"/>
    </xf>
    <xf numFmtId="0" fontId="12" fillId="4" borderId="0" xfId="0" applyFont="1" applyFill="1" applyAlignment="1" applyProtection="1">
      <alignment horizontal="center"/>
    </xf>
    <xf numFmtId="0" fontId="12" fillId="7" borderId="0" xfId="0" applyFont="1" applyFill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2" fontId="11" fillId="0" borderId="0" xfId="0" applyNumberFormat="1" applyFont="1" applyProtection="1"/>
    <xf numFmtId="2" fontId="11" fillId="0" borderId="0" xfId="0" applyNumberFormat="1" applyFont="1" applyAlignment="1" applyProtection="1"/>
    <xf numFmtId="0" fontId="11" fillId="0" borderId="0" xfId="0" applyFont="1" applyAlignment="1" applyProtection="1"/>
    <xf numFmtId="0" fontId="12" fillId="0" borderId="0" xfId="0" applyFont="1" applyProtection="1"/>
    <xf numFmtId="164" fontId="11" fillId="0" borderId="0" xfId="1" applyNumberFormat="1" applyFont="1" applyProtection="1"/>
    <xf numFmtId="164" fontId="12" fillId="0" borderId="0" xfId="1" applyNumberFormat="1" applyFont="1" applyProtection="1"/>
    <xf numFmtId="0" fontId="12" fillId="0" borderId="9" xfId="0" applyFont="1" applyBorder="1" applyProtection="1"/>
    <xf numFmtId="164" fontId="12" fillId="0" borderId="10" xfId="1" applyNumberFormat="1" applyFont="1" applyBorder="1" applyProtection="1"/>
    <xf numFmtId="0" fontId="12" fillId="4" borderId="10" xfId="0" applyFont="1" applyFill="1" applyBorder="1" applyAlignment="1" applyProtection="1">
      <alignment horizontal="center"/>
    </xf>
    <xf numFmtId="164" fontId="11" fillId="0" borderId="10" xfId="1" applyNumberFormat="1" applyFont="1" applyBorder="1" applyAlignment="1" applyProtection="1">
      <alignment horizontal="center"/>
    </xf>
    <xf numFmtId="0" fontId="12" fillId="7" borderId="10" xfId="0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43" fontId="11" fillId="0" borderId="6" xfId="0" applyNumberFormat="1" applyFont="1" applyBorder="1" applyProtection="1"/>
    <xf numFmtId="0" fontId="11" fillId="0" borderId="18" xfId="0" applyFont="1" applyBorder="1" applyProtection="1"/>
    <xf numFmtId="164" fontId="11" fillId="0" borderId="16" xfId="1" applyNumberFormat="1" applyFont="1" applyBorder="1" applyProtection="1"/>
    <xf numFmtId="0" fontId="12" fillId="0" borderId="16" xfId="0" applyFont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/>
    </xf>
    <xf numFmtId="164" fontId="11" fillId="0" borderId="16" xfId="1" applyNumberFormat="1" applyFont="1" applyBorder="1" applyAlignment="1" applyProtection="1">
      <alignment horizontal="center"/>
    </xf>
    <xf numFmtId="0" fontId="12" fillId="7" borderId="16" xfId="0" applyFont="1" applyFill="1" applyBorder="1" applyAlignment="1" applyProtection="1">
      <alignment horizontal="center"/>
    </xf>
    <xf numFmtId="0" fontId="12" fillId="0" borderId="13" xfId="0" applyFont="1" applyBorder="1" applyAlignment="1" applyProtection="1">
      <alignment horizontal="center"/>
    </xf>
    <xf numFmtId="43" fontId="11" fillId="0" borderId="14" xfId="0" applyNumberFormat="1" applyFont="1" applyBorder="1" applyProtection="1"/>
    <xf numFmtId="43" fontId="11" fillId="0" borderId="17" xfId="0" applyNumberFormat="1" applyFont="1" applyBorder="1" applyProtection="1"/>
    <xf numFmtId="0" fontId="11" fillId="0" borderId="29" xfId="0" applyFont="1" applyBorder="1" applyProtection="1"/>
    <xf numFmtId="164" fontId="11" fillId="0" borderId="30" xfId="1" applyNumberFormat="1" applyFont="1" applyBorder="1" applyProtection="1"/>
    <xf numFmtId="0" fontId="12" fillId="0" borderId="30" xfId="0" applyFont="1" applyBorder="1" applyAlignment="1" applyProtection="1">
      <alignment horizontal="center"/>
    </xf>
    <xf numFmtId="0" fontId="12" fillId="4" borderId="30" xfId="0" applyFont="1" applyFill="1" applyBorder="1" applyAlignment="1" applyProtection="1">
      <alignment horizontal="center"/>
    </xf>
    <xf numFmtId="164" fontId="11" fillId="0" borderId="30" xfId="1" applyNumberFormat="1" applyFont="1" applyBorder="1" applyAlignment="1" applyProtection="1">
      <alignment horizontal="center"/>
    </xf>
    <xf numFmtId="0" fontId="12" fillId="7" borderId="30" xfId="0" applyFont="1" applyFill="1" applyBorder="1" applyAlignment="1" applyProtection="1">
      <alignment horizontal="center"/>
    </xf>
    <xf numFmtId="43" fontId="11" fillId="0" borderId="31" xfId="0" applyNumberFormat="1" applyFont="1" applyBorder="1" applyProtection="1"/>
    <xf numFmtId="0" fontId="11" fillId="0" borderId="25" xfId="0" applyFont="1" applyBorder="1" applyProtection="1"/>
    <xf numFmtId="164" fontId="11" fillId="0" borderId="26" xfId="1" applyNumberFormat="1" applyFont="1" applyBorder="1" applyProtection="1"/>
    <xf numFmtId="0" fontId="12" fillId="0" borderId="26" xfId="0" applyFont="1" applyBorder="1" applyAlignment="1" applyProtection="1">
      <alignment horizontal="center"/>
    </xf>
    <xf numFmtId="0" fontId="12" fillId="4" borderId="26" xfId="0" applyFont="1" applyFill="1" applyBorder="1" applyAlignment="1" applyProtection="1">
      <alignment horizontal="center"/>
    </xf>
    <xf numFmtId="164" fontId="11" fillId="0" borderId="26" xfId="1" applyNumberFormat="1" applyFont="1" applyBorder="1" applyAlignment="1" applyProtection="1">
      <alignment horizontal="center"/>
    </xf>
    <xf numFmtId="0" fontId="12" fillId="7" borderId="26" xfId="0" applyFont="1" applyFill="1" applyBorder="1" applyAlignment="1" applyProtection="1">
      <alignment horizontal="center"/>
    </xf>
    <xf numFmtId="43" fontId="11" fillId="0" borderId="27" xfId="0" applyNumberFormat="1" applyFont="1" applyBorder="1" applyProtection="1"/>
    <xf numFmtId="164" fontId="12" fillId="4" borderId="0" xfId="1" applyNumberFormat="1" applyFont="1" applyFill="1" applyAlignment="1" applyProtection="1">
      <alignment horizontal="center"/>
    </xf>
    <xf numFmtId="164" fontId="12" fillId="7" borderId="0" xfId="1" applyNumberFormat="1" applyFont="1" applyFill="1" applyAlignment="1" applyProtection="1">
      <alignment horizontal="center"/>
    </xf>
    <xf numFmtId="43" fontId="11" fillId="0" borderId="0" xfId="0" applyNumberFormat="1" applyFont="1" applyProtection="1"/>
    <xf numFmtId="0" fontId="21" fillId="0" borderId="0" xfId="0" applyFont="1"/>
    <xf numFmtId="0" fontId="22" fillId="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0" fillId="0" borderId="0" xfId="0" applyFont="1" applyFill="1"/>
    <xf numFmtId="0" fontId="3" fillId="10" borderId="16" xfId="0" applyFont="1" applyFill="1" applyBorder="1" applyAlignment="1" applyProtection="1">
      <alignment horizontal="center" vertical="center"/>
    </xf>
    <xf numFmtId="0" fontId="9" fillId="10" borderId="16" xfId="0" applyFont="1" applyFill="1" applyBorder="1" applyAlignment="1" applyProtection="1">
      <alignment vertical="center"/>
    </xf>
    <xf numFmtId="0" fontId="3" fillId="11" borderId="16" xfId="0" applyFont="1" applyFill="1" applyBorder="1" applyAlignment="1" applyProtection="1">
      <alignment horizontal="center" vertical="center"/>
    </xf>
    <xf numFmtId="0" fontId="9" fillId="11" borderId="16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vertical="center"/>
    </xf>
    <xf numFmtId="0" fontId="3" fillId="12" borderId="16" xfId="0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" fillId="12" borderId="16" xfId="0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>
      <alignment horizontal="left"/>
    </xf>
    <xf numFmtId="2" fontId="11" fillId="0" borderId="0" xfId="2" applyNumberFormat="1" applyFont="1" applyProtection="1"/>
    <xf numFmtId="0" fontId="26" fillId="0" borderId="0" xfId="0" applyFont="1" applyAlignment="1">
      <alignment horizontal="center"/>
    </xf>
    <xf numFmtId="0" fontId="27" fillId="4" borderId="0" xfId="0" applyFont="1" applyFill="1" applyAlignment="1" applyProtection="1">
      <alignment horizontal="center" vertical="center"/>
      <protection locked="0"/>
    </xf>
    <xf numFmtId="164" fontId="5" fillId="0" borderId="0" xfId="1" applyNumberFormat="1" applyFont="1" applyFill="1" applyAlignment="1">
      <alignment horizontal="center"/>
    </xf>
    <xf numFmtId="164" fontId="19" fillId="0" borderId="0" xfId="1" applyNumberFormat="1" applyFont="1" applyAlignment="1">
      <alignment horizontal="right" vertical="top" wrapText="1"/>
    </xf>
    <xf numFmtId="164" fontId="19" fillId="0" borderId="0" xfId="1" applyNumberFormat="1" applyFont="1" applyAlignment="1">
      <alignment vertical="top" wrapText="1"/>
    </xf>
    <xf numFmtId="164" fontId="17" fillId="2" borderId="19" xfId="1" applyNumberFormat="1" applyFont="1" applyFill="1" applyBorder="1" applyAlignment="1">
      <alignment horizontal="right" vertical="top" wrapText="1"/>
    </xf>
    <xf numFmtId="164" fontId="17" fillId="2" borderId="1" xfId="1" applyNumberFormat="1" applyFont="1" applyFill="1" applyBorder="1" applyAlignment="1">
      <alignment horizontal="right" vertical="top" wrapText="1"/>
    </xf>
    <xf numFmtId="164" fontId="18" fillId="2" borderId="32" xfId="1" applyNumberFormat="1" applyFont="1" applyFill="1" applyBorder="1" applyAlignment="1">
      <alignment horizontal="right" vertical="top" wrapText="1"/>
    </xf>
    <xf numFmtId="164" fontId="18" fillId="2" borderId="19" xfId="1" applyNumberFormat="1" applyFont="1" applyFill="1" applyBorder="1" applyAlignment="1">
      <alignment horizontal="right" vertical="top" wrapText="1"/>
    </xf>
    <xf numFmtId="0" fontId="28" fillId="0" borderId="43" xfId="0" applyFont="1" applyBorder="1" applyAlignment="1">
      <alignment vertical="top" wrapText="1"/>
    </xf>
    <xf numFmtId="0" fontId="19" fillId="13" borderId="0" xfId="1" applyNumberFormat="1" applyFont="1" applyFill="1" applyAlignment="1">
      <alignment vertical="top" wrapText="1"/>
    </xf>
    <xf numFmtId="0" fontId="19" fillId="13" borderId="15" xfId="0" applyFont="1" applyFill="1" applyBorder="1" applyAlignment="1">
      <alignment vertical="center"/>
    </xf>
    <xf numFmtId="0" fontId="19" fillId="13" borderId="16" xfId="0" applyFont="1" applyFill="1" applyBorder="1" applyAlignment="1">
      <alignment horizontal="center" vertical="center" wrapText="1"/>
    </xf>
    <xf numFmtId="164" fontId="19" fillId="13" borderId="0" xfId="1" applyNumberFormat="1" applyFont="1" applyFill="1" applyAlignment="1">
      <alignment vertical="top" wrapText="1"/>
    </xf>
    <xf numFmtId="43" fontId="11" fillId="0" borderId="0" xfId="1" applyNumberFormat="1" applyFont="1" applyProtection="1"/>
    <xf numFmtId="164" fontId="11" fillId="0" borderId="0" xfId="0" applyNumberFormat="1" applyFont="1" applyProtection="1"/>
    <xf numFmtId="0" fontId="29" fillId="0" borderId="0" xfId="0" applyFont="1"/>
    <xf numFmtId="164" fontId="17" fillId="0" borderId="0" xfId="1" applyNumberFormat="1" applyFont="1"/>
    <xf numFmtId="164" fontId="30" fillId="0" borderId="0" xfId="1" applyNumberFormat="1" applyFont="1" applyAlignment="1">
      <alignment horizontal="center" vertical="center"/>
    </xf>
    <xf numFmtId="164" fontId="17" fillId="4" borderId="2" xfId="1" applyNumberFormat="1" applyFont="1" applyFill="1" applyBorder="1" applyAlignment="1">
      <alignment horizontal="center"/>
    </xf>
    <xf numFmtId="164" fontId="17" fillId="5" borderId="7" xfId="1" applyNumberFormat="1" applyFont="1" applyFill="1" applyBorder="1" applyAlignment="1">
      <alignment horizontal="center"/>
    </xf>
    <xf numFmtId="164" fontId="17" fillId="0" borderId="6" xfId="1" applyNumberFormat="1" applyFont="1" applyBorder="1" applyAlignment="1">
      <alignment horizontal="center"/>
    </xf>
    <xf numFmtId="164" fontId="17" fillId="2" borderId="30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164" fontId="17" fillId="2" borderId="44" xfId="1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14" borderId="24" xfId="0" applyFont="1" applyFill="1" applyBorder="1" applyAlignment="1">
      <alignment horizontal="center"/>
    </xf>
    <xf numFmtId="0" fontId="19" fillId="15" borderId="24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19" fillId="16" borderId="24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17" fillId="14" borderId="23" xfId="0" applyFont="1" applyFill="1" applyBorder="1" applyAlignment="1">
      <alignment horizontal="center" vertical="top" wrapText="1"/>
    </xf>
    <xf numFmtId="0" fontId="17" fillId="15" borderId="23" xfId="0" applyFont="1" applyFill="1" applyBorder="1" applyAlignment="1">
      <alignment horizontal="center" vertical="top" wrapText="1"/>
    </xf>
    <xf numFmtId="0" fontId="17" fillId="3" borderId="23" xfId="0" applyFont="1" applyFill="1" applyBorder="1" applyAlignment="1">
      <alignment horizontal="center" vertical="top" wrapText="1"/>
    </xf>
    <xf numFmtId="0" fontId="17" fillId="16" borderId="23" xfId="0" applyFont="1" applyFill="1" applyBorder="1" applyAlignment="1">
      <alignment horizontal="center" vertical="top" wrapText="1"/>
    </xf>
    <xf numFmtId="0" fontId="17" fillId="4" borderId="23" xfId="0" applyFont="1" applyFill="1" applyBorder="1" applyAlignment="1">
      <alignment horizontal="center" vertical="top" wrapText="1"/>
    </xf>
    <xf numFmtId="164" fontId="31" fillId="15" borderId="45" xfId="1" applyNumberFormat="1" applyFont="1" applyFill="1" applyBorder="1"/>
    <xf numFmtId="164" fontId="31" fillId="3" borderId="2" xfId="1" applyNumberFormat="1" applyFont="1" applyFill="1" applyBorder="1"/>
    <xf numFmtId="164" fontId="31" fillId="16" borderId="45" xfId="1" applyNumberFormat="1" applyFont="1" applyFill="1" applyBorder="1"/>
    <xf numFmtId="164" fontId="31" fillId="14" borderId="2" xfId="1" applyNumberFormat="1" applyFont="1" applyFill="1" applyBorder="1"/>
    <xf numFmtId="164" fontId="31" fillId="4" borderId="45" xfId="1" applyNumberFormat="1" applyFont="1" applyFill="1" applyBorder="1"/>
    <xf numFmtId="164" fontId="31" fillId="5" borderId="5" xfId="1" applyNumberFormat="1" applyFont="1" applyFill="1" applyBorder="1" applyAlignment="1">
      <alignment horizontal="center"/>
    </xf>
    <xf numFmtId="164" fontId="31" fillId="0" borderId="6" xfId="1" applyNumberFormat="1" applyFont="1" applyBorder="1" applyAlignment="1">
      <alignment horizontal="center"/>
    </xf>
    <xf numFmtId="164" fontId="33" fillId="4" borderId="15" xfId="1" applyNumberFormat="1" applyFont="1" applyFill="1" applyBorder="1" applyAlignment="1">
      <alignment horizontal="center"/>
    </xf>
    <xf numFmtId="164" fontId="33" fillId="5" borderId="16" xfId="1" applyNumberFormat="1" applyFont="1" applyFill="1" applyBorder="1" applyAlignment="1">
      <alignment horizontal="center"/>
    </xf>
    <xf numFmtId="164" fontId="33" fillId="0" borderId="17" xfId="1" applyNumberFormat="1" applyFont="1" applyBorder="1" applyAlignment="1">
      <alignment horizontal="center"/>
    </xf>
    <xf numFmtId="164" fontId="31" fillId="4" borderId="4" xfId="1" applyNumberFormat="1" applyFont="1" applyFill="1" applyBorder="1" applyAlignment="1">
      <alignment horizontal="center"/>
    </xf>
    <xf numFmtId="164" fontId="33" fillId="5" borderId="26" xfId="1" applyNumberFormat="1" applyFont="1" applyFill="1" applyBorder="1" applyAlignment="1">
      <alignment horizontal="center"/>
    </xf>
    <xf numFmtId="164" fontId="33" fillId="0" borderId="27" xfId="1" applyNumberFormat="1" applyFont="1" applyBorder="1" applyAlignment="1">
      <alignment horizontal="center"/>
    </xf>
    <xf numFmtId="164" fontId="32" fillId="14" borderId="37" xfId="1" applyNumberFormat="1" applyFont="1" applyFill="1" applyBorder="1"/>
    <xf numFmtId="164" fontId="32" fillId="15" borderId="46" xfId="1" applyNumberFormat="1" applyFont="1" applyFill="1" applyBorder="1"/>
    <xf numFmtId="164" fontId="32" fillId="15" borderId="47" xfId="1" applyNumberFormat="1" applyFont="1" applyFill="1" applyBorder="1"/>
    <xf numFmtId="164" fontId="32" fillId="15" borderId="48" xfId="1" applyNumberFormat="1" applyFont="1" applyFill="1" applyBorder="1"/>
    <xf numFmtId="164" fontId="32" fillId="3" borderId="37" xfId="1" applyNumberFormat="1" applyFont="1" applyFill="1" applyBorder="1"/>
    <xf numFmtId="164" fontId="32" fillId="16" borderId="46" xfId="1" applyNumberFormat="1" applyFont="1" applyFill="1" applyBorder="1"/>
    <xf numFmtId="164" fontId="32" fillId="16" borderId="47" xfId="1" applyNumberFormat="1" applyFont="1" applyFill="1" applyBorder="1"/>
    <xf numFmtId="164" fontId="32" fillId="16" borderId="48" xfId="1" applyNumberFormat="1" applyFont="1" applyFill="1" applyBorder="1"/>
    <xf numFmtId="164" fontId="32" fillId="4" borderId="46" xfId="1" applyNumberFormat="1" applyFont="1" applyFill="1" applyBorder="1"/>
    <xf numFmtId="164" fontId="32" fillId="4" borderId="47" xfId="1" applyNumberFormat="1" applyFont="1" applyFill="1" applyBorder="1"/>
    <xf numFmtId="164" fontId="32" fillId="4" borderId="48" xfId="1" applyNumberFormat="1" applyFont="1" applyFill="1" applyBorder="1"/>
    <xf numFmtId="164" fontId="32" fillId="14" borderId="49" xfId="1" applyNumberFormat="1" applyFont="1" applyFill="1" applyBorder="1"/>
    <xf numFmtId="164" fontId="32" fillId="3" borderId="50" xfId="1" applyNumberFormat="1" applyFont="1" applyFill="1" applyBorder="1"/>
    <xf numFmtId="164" fontId="32" fillId="14" borderId="50" xfId="1" applyNumberFormat="1" applyFont="1" applyFill="1" applyBorder="1"/>
    <xf numFmtId="164" fontId="32" fillId="14" borderId="51" xfId="1" applyNumberFormat="1" applyFont="1" applyFill="1" applyBorder="1"/>
    <xf numFmtId="164" fontId="32" fillId="14" borderId="52" xfId="1" applyNumberFormat="1" applyFont="1" applyFill="1" applyBorder="1"/>
    <xf numFmtId="164" fontId="32" fillId="3" borderId="53" xfId="1" applyNumberFormat="1" applyFont="1" applyFill="1" applyBorder="1"/>
    <xf numFmtId="164" fontId="32" fillId="14" borderId="53" xfId="1" applyNumberFormat="1" applyFont="1" applyFill="1" applyBorder="1"/>
    <xf numFmtId="164" fontId="33" fillId="4" borderId="54" xfId="1" applyNumberFormat="1" applyFont="1" applyFill="1" applyBorder="1" applyAlignment="1">
      <alignment horizontal="center"/>
    </xf>
    <xf numFmtId="164" fontId="17" fillId="2" borderId="55" xfId="1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left"/>
    </xf>
    <xf numFmtId="0" fontId="6" fillId="2" borderId="47" xfId="0" applyFont="1" applyFill="1" applyBorder="1" applyAlignment="1">
      <alignment horizontal="left"/>
    </xf>
    <xf numFmtId="0" fontId="6" fillId="2" borderId="48" xfId="0" applyFont="1" applyFill="1" applyBorder="1" applyAlignment="1">
      <alignment horizontal="left"/>
    </xf>
    <xf numFmtId="0" fontId="18" fillId="2" borderId="32" xfId="0" applyFont="1" applyFill="1" applyBorder="1" applyAlignment="1">
      <alignment horizontal="right"/>
    </xf>
    <xf numFmtId="0" fontId="18" fillId="2" borderId="19" xfId="0" applyFont="1" applyFill="1" applyBorder="1" applyAlignment="1">
      <alignment horizontal="right"/>
    </xf>
    <xf numFmtId="0" fontId="18" fillId="13" borderId="19" xfId="0" applyFont="1" applyFill="1" applyBorder="1" applyAlignment="1">
      <alignment horizontal="right"/>
    </xf>
    <xf numFmtId="0" fontId="18" fillId="13" borderId="19" xfId="0" applyFont="1" applyFill="1" applyBorder="1" applyAlignment="1">
      <alignment horizontal="right" vertical="top"/>
    </xf>
    <xf numFmtId="0" fontId="19" fillId="0" borderId="0" xfId="0" applyFont="1" applyAlignment="1">
      <alignment horizontal="right"/>
    </xf>
    <xf numFmtId="164" fontId="19" fillId="0" borderId="0" xfId="1" applyNumberFormat="1" applyFont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/>
    <xf numFmtId="164" fontId="19" fillId="0" borderId="17" xfId="1" applyNumberFormat="1" applyFont="1" applyBorder="1" applyAlignment="1">
      <alignment horizontal="center"/>
    </xf>
    <xf numFmtId="164" fontId="19" fillId="0" borderId="18" xfId="1" applyNumberFormat="1" applyFont="1" applyBorder="1" applyAlignment="1">
      <alignment horizontal="center"/>
    </xf>
    <xf numFmtId="164" fontId="19" fillId="13" borderId="18" xfId="1" applyNumberFormat="1" applyFont="1" applyFill="1" applyBorder="1" applyAlignment="1">
      <alignment horizontal="center"/>
    </xf>
    <xf numFmtId="164" fontId="19" fillId="13" borderId="17" xfId="1" applyNumberFormat="1" applyFont="1" applyFill="1" applyBorder="1" applyAlignment="1">
      <alignment horizontal="center"/>
    </xf>
    <xf numFmtId="0" fontId="19" fillId="13" borderId="0" xfId="0" applyFont="1" applyFill="1"/>
    <xf numFmtId="0" fontId="19" fillId="0" borderId="43" xfId="0" applyFont="1" applyBorder="1" applyAlignment="1">
      <alignment vertical="top" wrapText="1"/>
    </xf>
    <xf numFmtId="164" fontId="19" fillId="13" borderId="18" xfId="1" applyNumberFormat="1" applyFont="1" applyFill="1" applyBorder="1" applyAlignment="1">
      <alignment horizontal="center" vertical="top"/>
    </xf>
    <xf numFmtId="164" fontId="19" fillId="13" borderId="17" xfId="1" applyNumberFormat="1" applyFont="1" applyFill="1" applyBorder="1" applyAlignment="1">
      <alignment horizontal="center" vertical="top"/>
    </xf>
    <xf numFmtId="0" fontId="19" fillId="13" borderId="0" xfId="0" applyFont="1" applyFill="1" applyAlignment="1">
      <alignment vertical="top"/>
    </xf>
    <xf numFmtId="0" fontId="17" fillId="0" borderId="0" xfId="0" applyFont="1" applyAlignment="1">
      <alignment horizontal="center"/>
    </xf>
    <xf numFmtId="164" fontId="19" fillId="3" borderId="12" xfId="1" applyNumberFormat="1" applyFont="1" applyFill="1" applyBorder="1"/>
    <xf numFmtId="164" fontId="19" fillId="3" borderId="13" xfId="1" applyNumberFormat="1" applyFont="1" applyFill="1" applyBorder="1"/>
    <xf numFmtId="0" fontId="1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7" fillId="12" borderId="16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164" fontId="17" fillId="3" borderId="2" xfId="1" applyNumberFormat="1" applyFont="1" applyFill="1" applyBorder="1" applyAlignment="1">
      <alignment horizontal="center" vertical="center"/>
    </xf>
    <xf numFmtId="164" fontId="17" fillId="3" borderId="3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8" borderId="0" xfId="0" applyFont="1" applyFill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/>
    </xf>
    <xf numFmtId="164" fontId="19" fillId="0" borderId="12" xfId="1" applyNumberFormat="1" applyFont="1" applyBorder="1" applyAlignment="1">
      <alignment horizontal="center" vertical="center"/>
    </xf>
    <xf numFmtId="164" fontId="19" fillId="0" borderId="13" xfId="1" applyNumberFormat="1" applyFont="1" applyBorder="1" applyAlignment="1">
      <alignment horizontal="center" vertical="center"/>
    </xf>
    <xf numFmtId="164" fontId="19" fillId="0" borderId="4" xfId="1" applyNumberFormat="1" applyFont="1" applyBorder="1" applyAlignment="1">
      <alignment horizontal="center" vertical="center"/>
    </xf>
    <xf numFmtId="164" fontId="19" fillId="0" borderId="5" xfId="1" applyNumberFormat="1" applyFont="1" applyBorder="1" applyAlignment="1">
      <alignment horizontal="center" vertical="center"/>
    </xf>
    <xf numFmtId="164" fontId="19" fillId="0" borderId="6" xfId="1" applyNumberFormat="1" applyFont="1" applyBorder="1" applyAlignment="1">
      <alignment horizontal="center" vertical="center"/>
    </xf>
    <xf numFmtId="164" fontId="19" fillId="0" borderId="14" xfId="1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64" fontId="17" fillId="2" borderId="28" xfId="1" applyNumberFormat="1" applyFont="1" applyFill="1" applyBorder="1" applyAlignment="1">
      <alignment horizontal="center" vertical="center"/>
    </xf>
    <xf numFmtId="164" fontId="17" fillId="2" borderId="33" xfId="1" applyNumberFormat="1" applyFont="1" applyFill="1" applyBorder="1" applyAlignment="1">
      <alignment horizontal="center" vertical="center"/>
    </xf>
    <xf numFmtId="164" fontId="17" fillId="2" borderId="36" xfId="1" applyNumberFormat="1" applyFont="1" applyFill="1" applyBorder="1" applyAlignment="1">
      <alignment horizontal="center" vertical="center"/>
    </xf>
    <xf numFmtId="164" fontId="19" fillId="4" borderId="39" xfId="1" applyNumberFormat="1" applyFont="1" applyFill="1" applyBorder="1" applyAlignment="1">
      <alignment horizontal="center" vertical="center"/>
    </xf>
    <xf numFmtId="164" fontId="19" fillId="4" borderId="41" xfId="1" applyNumberFormat="1" applyFont="1" applyFill="1" applyBorder="1" applyAlignment="1">
      <alignment horizontal="center" vertical="center"/>
    </xf>
    <xf numFmtId="164" fontId="19" fillId="4" borderId="12" xfId="1" applyNumberFormat="1" applyFont="1" applyFill="1" applyBorder="1" applyAlignment="1">
      <alignment horizontal="center" vertical="center"/>
    </xf>
    <xf numFmtId="164" fontId="19" fillId="4" borderId="40" xfId="1" applyNumberFormat="1" applyFont="1" applyFill="1" applyBorder="1" applyAlignment="1">
      <alignment horizontal="center" vertical="center"/>
    </xf>
    <xf numFmtId="164" fontId="19" fillId="4" borderId="42" xfId="1" applyNumberFormat="1" applyFont="1" applyFill="1" applyBorder="1" applyAlignment="1">
      <alignment horizontal="center" vertical="center"/>
    </xf>
    <xf numFmtId="164" fontId="19" fillId="4" borderId="14" xfId="1" applyNumberFormat="1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" fillId="2" borderId="28" xfId="1" applyNumberFormat="1" applyFont="1" applyFill="1" applyBorder="1" applyAlignment="1">
      <alignment horizontal="center" vertical="center"/>
    </xf>
    <xf numFmtId="164" fontId="2" fillId="2" borderId="33" xfId="1" applyNumberFormat="1" applyFont="1" applyFill="1" applyBorder="1" applyAlignment="1">
      <alignment horizontal="center" vertical="center"/>
    </xf>
    <xf numFmtId="164" fontId="2" fillId="2" borderId="36" xfId="1" applyNumberFormat="1" applyFont="1" applyFill="1" applyBorder="1" applyAlignment="1">
      <alignment horizontal="center" vertical="center"/>
    </xf>
    <xf numFmtId="164" fontId="0" fillId="4" borderId="39" xfId="1" applyNumberFormat="1" applyFont="1" applyFill="1" applyBorder="1" applyAlignment="1">
      <alignment horizontal="center" vertical="center"/>
    </xf>
    <xf numFmtId="164" fontId="0" fillId="4" borderId="41" xfId="1" applyNumberFormat="1" applyFont="1" applyFill="1" applyBorder="1" applyAlignment="1">
      <alignment horizontal="center" vertical="center"/>
    </xf>
    <xf numFmtId="164" fontId="0" fillId="4" borderId="12" xfId="1" applyNumberFormat="1" applyFont="1" applyFill="1" applyBorder="1" applyAlignment="1">
      <alignment horizontal="center" vertical="center"/>
    </xf>
    <xf numFmtId="164" fontId="0" fillId="4" borderId="40" xfId="1" applyNumberFormat="1" applyFont="1" applyFill="1" applyBorder="1" applyAlignment="1">
      <alignment horizontal="center" vertical="center"/>
    </xf>
    <xf numFmtId="164" fontId="0" fillId="4" borderId="42" xfId="1" applyNumberFormat="1" applyFont="1" applyFill="1" applyBorder="1" applyAlignment="1">
      <alignment horizontal="center" vertical="center"/>
    </xf>
    <xf numFmtId="164" fontId="0" fillId="4" borderId="14" xfId="1" applyNumberFormat="1" applyFont="1" applyFill="1" applyBorder="1" applyAlignment="1">
      <alignment horizontal="center" vertical="center"/>
    </xf>
    <xf numFmtId="0" fontId="26" fillId="0" borderId="16" xfId="3" applyFont="1" applyFill="1" applyBorder="1" applyAlignment="1" applyProtection="1">
      <alignment horizontal="center" vertical="center" wrapText="1"/>
      <protection locked="0"/>
    </xf>
    <xf numFmtId="164" fontId="26" fillId="0" borderId="16" xfId="1" applyNumberFormat="1" applyFont="1" applyFill="1" applyBorder="1" applyAlignment="1">
      <alignment horizontal="center" vertical="center"/>
    </xf>
    <xf numFmtId="43" fontId="26" fillId="0" borderId="19" xfId="1" applyNumberFormat="1" applyFont="1" applyFill="1" applyBorder="1" applyAlignment="1">
      <alignment horizontal="center" vertical="center"/>
    </xf>
    <xf numFmtId="43" fontId="26" fillId="0" borderId="16" xfId="1" applyNumberFormat="1" applyFont="1" applyFill="1" applyBorder="1" applyAlignment="1">
      <alignment horizontal="center" vertical="center"/>
    </xf>
    <xf numFmtId="3" fontId="39" fillId="0" borderId="16" xfId="0" applyNumberFormat="1" applyFont="1" applyFill="1" applyBorder="1" applyAlignment="1">
      <alignment horizontal="center" vertical="center" wrapText="1"/>
    </xf>
    <xf numFmtId="164" fontId="19" fillId="0" borderId="16" xfId="1" applyNumberFormat="1" applyFont="1" applyFill="1" applyBorder="1" applyAlignment="1">
      <alignment horizontal="center" vertical="center"/>
    </xf>
    <xf numFmtId="0" fontId="37" fillId="6" borderId="16" xfId="0" applyFont="1" applyFill="1" applyBorder="1" applyAlignment="1">
      <alignment horizontal="center" vertical="center"/>
    </xf>
    <xf numFmtId="0" fontId="0" fillId="0" borderId="0" xfId="0" applyFont="1"/>
    <xf numFmtId="164" fontId="19" fillId="0" borderId="16" xfId="1" applyNumberFormat="1" applyFont="1" applyBorder="1"/>
    <xf numFmtId="0" fontId="17" fillId="0" borderId="16" xfId="0" applyFont="1" applyBorder="1" applyAlignment="1">
      <alignment horizontal="center"/>
    </xf>
    <xf numFmtId="0" fontId="17" fillId="6" borderId="16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26" fillId="0" borderId="16" xfId="4" applyNumberFormat="1" applyFont="1" applyFill="1" applyBorder="1" applyAlignment="1">
      <alignment horizontal="center" vertical="center" wrapText="1"/>
    </xf>
    <xf numFmtId="43" fontId="26" fillId="0" borderId="56" xfId="1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top" wrapText="1"/>
    </xf>
    <xf numFmtId="0" fontId="40" fillId="17" borderId="19" xfId="0" applyFont="1" applyFill="1" applyBorder="1" applyAlignment="1">
      <alignment horizontal="center" vertical="center"/>
    </xf>
    <xf numFmtId="0" fontId="26" fillId="18" borderId="16" xfId="3" applyNumberFormat="1" applyFont="1" applyFill="1" applyBorder="1" applyAlignment="1">
      <alignment horizontal="center" vertical="center" wrapText="1"/>
    </xf>
    <xf numFmtId="0" fontId="26" fillId="17" borderId="16" xfId="3" applyNumberFormat="1" applyFont="1" applyFill="1" applyBorder="1" applyAlignment="1">
      <alignment horizontal="center" vertical="center" wrapText="1"/>
    </xf>
    <xf numFmtId="0" fontId="40" fillId="4" borderId="19" xfId="0" applyFont="1" applyFill="1" applyBorder="1" applyAlignment="1">
      <alignment horizontal="center" vertical="center"/>
    </xf>
    <xf numFmtId="0" fontId="26" fillId="4" borderId="16" xfId="4" applyNumberFormat="1" applyFont="1" applyFill="1" applyBorder="1" applyAlignment="1">
      <alignment horizontal="center" vertical="center" wrapText="1"/>
    </xf>
    <xf numFmtId="164" fontId="26" fillId="4" borderId="16" xfId="1" applyNumberFormat="1" applyFont="1" applyFill="1" applyBorder="1" applyAlignment="1">
      <alignment horizontal="center" vertical="center"/>
    </xf>
    <xf numFmtId="3" fontId="26" fillId="4" borderId="16" xfId="1" applyNumberFormat="1" applyFont="1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top" wrapText="1"/>
    </xf>
    <xf numFmtId="164" fontId="19" fillId="4" borderId="16" xfId="1" applyNumberFormat="1" applyFont="1" applyFill="1" applyBorder="1" applyAlignment="1">
      <alignment horizontal="center" vertical="center"/>
    </xf>
    <xf numFmtId="0" fontId="19" fillId="4" borderId="16" xfId="1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1" fillId="14" borderId="0" xfId="0" applyFont="1" applyFill="1" applyAlignment="1">
      <alignment horizontal="center" vertical="top" wrapText="1"/>
    </xf>
  </cellXfs>
  <cellStyles count="5">
    <cellStyle name="Comma" xfId="1" builtinId="3"/>
    <cellStyle name="Normal" xfId="0" builtinId="0"/>
    <cellStyle name="Percent" xfId="2" builtinId="5"/>
    <cellStyle name="ปกติ_Book1" xfId="4" xr:uid="{7D09B765-7695-4E41-88B7-B07C35451E43}"/>
    <cellStyle name="ปกติ_คะแนนO-Net(ปีการศึกษา2549)Update" xfId="3" xr:uid="{5A886E60-1879-44FF-9FCC-8D907B2C46A5}"/>
  </cellStyles>
  <dxfs count="0"/>
  <tableStyles count="0" defaultTableStyle="TableStyleMedium2" defaultPivotStyle="PivotStyleLight16"/>
  <colors>
    <mruColors>
      <color rgb="FFFF4747"/>
      <color rgb="FFC55A11"/>
      <color rgb="FFFFC001"/>
      <color rgb="FFFF66FF"/>
      <color rgb="FFC2BCFF"/>
      <color rgb="FF70AE47"/>
      <color rgb="FF5B9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cap="none" spc="0" normalizeH="0" baseline="0">
                <a:solidFill>
                  <a:schemeClr val="tx1"/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24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เปรียบเทียบจำนวนผู้สูงอายุที่รับเบี้ยยังชีพผู้สูงอายุ</a:t>
            </a:r>
            <a:r>
              <a:rPr lang="th-TH" sz="2400" baseline="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ผู้</a:t>
            </a:r>
            <a:r>
              <a:rPr lang="th-TH" sz="24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รับเบี้ยผู้พิการ และผู้อยู่ในภาวะพึ่งพิง</a:t>
            </a:r>
          </a:p>
          <a:p>
            <a:pPr>
              <a:defRPr sz="24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endParaRPr lang="en-US" sz="24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layout>
        <c:manualLayout>
          <c:xMode val="edge"/>
          <c:yMode val="edge"/>
          <c:x val="0.10465354066633401"/>
          <c:y val="2.7647355709143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cap="none" spc="0" normalizeH="0" baseline="0">
              <a:solidFill>
                <a:schemeClr val="tx1"/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085568355984813"/>
          <c:y val="0.18359282002142827"/>
          <c:w val="0.75385282310473689"/>
          <c:h val="0.78456965734864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เลือกรายเขต!$B$4</c:f>
              <c:strCache>
                <c:ptCount val="1"/>
                <c:pt idx="0">
                  <c:v>จำนวนผู้สูงอายุทั้งหมด</c:v>
                </c:pt>
              </c:strCache>
            </c:strRef>
          </c:tx>
          <c:spPr>
            <a:solidFill>
              <a:srgbClr val="C2BCF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839625683891461E-3"/>
                  <c:y val="4.1341876168462598E-2"/>
                </c:manualLayout>
              </c:layout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47691818464775"/>
                      <c:h val="0.138294857834155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8C6-463F-B2D6-F307AF62F1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เลือกรายเขต!$C$4</c:f>
              <c:numCache>
                <c:formatCode>_-* #,##0_-;\-* #,##0_-;_-* "-"??_-;_-@_-</c:formatCode>
                <c:ptCount val="1"/>
                <c:pt idx="0">
                  <c:v>13912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6-463F-B2D6-F307AF62F111}"/>
            </c:ext>
          </c:extLst>
        </c:ser>
        <c:ser>
          <c:idx val="1"/>
          <c:order val="1"/>
          <c:tx>
            <c:strRef>
              <c:f>เลือกรายเขต!$B$11</c:f>
              <c:strCache>
                <c:ptCount val="1"/>
                <c:pt idx="0">
                  <c:v>จำนวนผู้สูงอายุที่รับเบี้ยยังชีพผู้สูงอายุ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5426850242457517E-2"/>
                  <c:y val="4.1940199223827836E-2"/>
                </c:manualLayout>
              </c:layout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858674094857761"/>
                      <c:h val="0.173564085042995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8C6-463F-B2D6-F307AF62F1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เลือกรายเขต!$C$11</c:f>
              <c:numCache>
                <c:formatCode>_-* #,##0_-;\-* #,##0_-;_-* "-"??_-;_-@_-</c:formatCode>
                <c:ptCount val="1"/>
                <c:pt idx="0">
                  <c:v>10526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6-463F-B2D6-F307AF62F111}"/>
            </c:ext>
          </c:extLst>
        </c:ser>
        <c:ser>
          <c:idx val="2"/>
          <c:order val="2"/>
          <c:tx>
            <c:strRef>
              <c:f>เลือกรายเขต!$B$15</c:f>
              <c:strCache>
                <c:ptCount val="1"/>
                <c:pt idx="0">
                  <c:v>จำนวนผู้สูงอายุที่รับเบี้ยความพิการ</c:v>
                </c:pt>
              </c:strCache>
            </c:strRef>
          </c:tx>
          <c:spPr>
            <a:solidFill>
              <a:srgbClr val="C55A1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1317469109197707E-2"/>
                  <c:y val="-2.50357819092221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386171792529884"/>
                      <c:h val="0.158485198017487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8C6-463F-B2D6-F307AF62F1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เลือกรายเขต!$C$15</c:f>
              <c:numCache>
                <c:formatCode>_-* #,##0_-;\-* #,##0_-;_-* "-"??_-;_-@_-</c:formatCode>
                <c:ptCount val="1"/>
                <c:pt idx="0">
                  <c:v>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C6-463F-B2D6-F307AF62F111}"/>
            </c:ext>
          </c:extLst>
        </c:ser>
        <c:ser>
          <c:idx val="3"/>
          <c:order val="3"/>
          <c:tx>
            <c:v>จำนวนผู้สูงอายุในภาวะพึ่งพิง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เลือกรายเขต!$C$19</c:f>
              <c:numCache>
                <c:formatCode>_-* #,##0_-;\-* #,##0_-;_-* "-"??_-;_-@_-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6-CD45-9224-BBFFC97A7E8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6"/>
        <c:overlap val="-26"/>
        <c:axId val="501983448"/>
        <c:axId val="552174312"/>
      </c:barChart>
      <c:catAx>
        <c:axId val="50198344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52174312"/>
        <c:crosses val="autoZero"/>
        <c:auto val="1"/>
        <c:lblAlgn val="ctr"/>
        <c:lblOffset val="100"/>
        <c:noMultiLvlLbl val="0"/>
      </c:catAx>
      <c:valAx>
        <c:axId val="55217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019834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IT๙" panose="020B0500040200020003" pitchFamily="34" charset="-34"/>
                <a:ea typeface="+mn-ea"/>
                <a:cs typeface="TH SarabunIT๙" panose="020B0500040200020003" pitchFamily="34" charset="-34"/>
              </a:defRPr>
            </a:pPr>
            <a:r>
              <a:rPr lang="th-TH" sz="2400">
                <a:latin typeface="TH SarabunIT๙" panose="020B0500040200020003" pitchFamily="34" charset="-34"/>
                <a:cs typeface="TH SarabunIT๙" panose="020B0500040200020003" pitchFamily="34" charset="-34"/>
              </a:rPr>
              <a:t>สัดส่วนการรับเบี้ยยังชีพผู้สูงอายุตามช่วงอายุ</a:t>
            </a:r>
            <a:endParaRPr lang="en-US" sz="2400">
              <a:latin typeface="TH SarabunIT๙" panose="020B0500040200020003" pitchFamily="34" charset="-34"/>
              <a:cs typeface="TH SarabunIT๙" panose="020B0500040200020003" pitchFamily="34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A90-42D4-AE55-BAC8CFECDA3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A90-42D4-AE55-BAC8CFECDA3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A90-42D4-AE55-BAC8CFECDA3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เลือกรายเขต!$B$12:$B$14</c:f>
              <c:strCache>
                <c:ptCount val="3"/>
                <c:pt idx="0">
                  <c:v> - ผู้สูงอายุวัยต้น 60 - 69 ปี</c:v>
                </c:pt>
                <c:pt idx="1">
                  <c:v> - ผู้สูงอายุวัยกลาง 70 - 79 ปี</c:v>
                </c:pt>
                <c:pt idx="2">
                  <c:v> - ผู้สูงอายุวัยปลาย 80 ปีขึ้นไป</c:v>
                </c:pt>
              </c:strCache>
            </c:strRef>
          </c:cat>
          <c:val>
            <c:numRef>
              <c:f>เลือกรายเขต!$C$12:$C$14</c:f>
              <c:numCache>
                <c:formatCode>_-* #,##0_-;\-* #,##0_-;_-* "-"??_-;_-@_-</c:formatCode>
                <c:ptCount val="3"/>
                <c:pt idx="0">
                  <c:v>5756</c:v>
                </c:pt>
                <c:pt idx="1">
                  <c:v>3110</c:v>
                </c:pt>
                <c:pt idx="2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6-447E-8ACF-FD78A78799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th-TH"/>
              <a:t>เปรียบเทียบการลงทะเบียนรับเบี้ยยังชีพผู้สูงอายุ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เลือกรายเขต!$B$4</c:f>
              <c:strCache>
                <c:ptCount val="1"/>
                <c:pt idx="0">
                  <c:v>จำนวนผู้สูงอายุทั้งหมด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เลือกรายเขต!$C$4</c:f>
              <c:numCache>
                <c:formatCode>_-* #,##0_-;\-* #,##0_-;_-* "-"??_-;_-@_-</c:formatCode>
                <c:ptCount val="1"/>
                <c:pt idx="0">
                  <c:v>13912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A-4C20-BF82-0628EFC2FCC1}"/>
            </c:ext>
          </c:extLst>
        </c:ser>
        <c:ser>
          <c:idx val="1"/>
          <c:order val="1"/>
          <c:tx>
            <c:strRef>
              <c:f>เลือกรายเขต!$B$11</c:f>
              <c:strCache>
                <c:ptCount val="1"/>
                <c:pt idx="0">
                  <c:v>จำนวนผู้สูงอายุที่รับเบี้ยยังชีพผู้สูงอายุ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เลือกรายเขต!$C$11</c:f>
              <c:numCache>
                <c:formatCode>_-* #,##0_-;\-* #,##0_-;_-* "-"??_-;_-@_-</c:formatCode>
                <c:ptCount val="1"/>
                <c:pt idx="0">
                  <c:v>10526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DA-4C20-BF82-0628EFC2FCC1}"/>
            </c:ext>
          </c:extLst>
        </c:ser>
        <c:ser>
          <c:idx val="2"/>
          <c:order val="2"/>
          <c:tx>
            <c:strRef>
              <c:f>เลือกรายเขต!$B$15</c:f>
              <c:strCache>
                <c:ptCount val="1"/>
                <c:pt idx="0">
                  <c:v>จำนวนผู้สูงอายุที่รับเบี้ยความพิการ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DA-4C20-BF82-0628EFC2FC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เลือกรายเขต!$C$15</c:f>
              <c:numCache>
                <c:formatCode>_-* #,##0_-;\-* #,##0_-;_-* "-"??_-;_-@_-</c:formatCode>
                <c:ptCount val="1"/>
                <c:pt idx="0">
                  <c:v>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DA-4C20-BF82-0628EFC2FCC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01983448"/>
        <c:axId val="552174312"/>
      </c:barChart>
      <c:catAx>
        <c:axId val="501983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174312"/>
        <c:crosses val="autoZero"/>
        <c:auto val="1"/>
        <c:lblAlgn val="ctr"/>
        <c:lblOffset val="100"/>
        <c:noMultiLvlLbl val="0"/>
      </c:catAx>
      <c:valAx>
        <c:axId val="55217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019834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20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สัดส่วนการรับเบี้ยยังชีพผู้สูงอายุจำแนกตามช่วงอายุ</a:t>
            </a:r>
            <a:endParaRPr lang="en-US" sz="20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F29-4B2F-B20A-FF25D8065CE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F29-4B2F-B20A-FF25D8065CE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F29-4B2F-B20A-FF25D8065C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เลือกรายเขต!$B$12:$B$14</c:f>
              <c:strCache>
                <c:ptCount val="3"/>
                <c:pt idx="0">
                  <c:v> - ผู้สูงอายุวัยต้น 60 - 69 ปี</c:v>
                </c:pt>
                <c:pt idx="1">
                  <c:v> - ผู้สูงอายุวัยกลาง 70 - 79 ปี</c:v>
                </c:pt>
                <c:pt idx="2">
                  <c:v> - ผู้สูงอายุวัยปลาย 80 ปีขึ้นไป</c:v>
                </c:pt>
              </c:strCache>
            </c:strRef>
          </c:cat>
          <c:val>
            <c:numRef>
              <c:f>เลือกรายเขต!$C$12:$C$14</c:f>
              <c:numCache>
                <c:formatCode>_-* #,##0_-;\-* #,##0_-;_-* "-"??_-;_-@_-</c:formatCode>
                <c:ptCount val="3"/>
                <c:pt idx="0">
                  <c:v>5756</c:v>
                </c:pt>
                <c:pt idx="1">
                  <c:v>3110</c:v>
                </c:pt>
                <c:pt idx="2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29-4B2F-B20A-FF25D8065CE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สัดส่วนการรับเบี้ยผู้พิการตามช่วงอายุ</a:t>
            </a:r>
            <a:endParaRPr lang="en-US" sz="18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layout>
        <c:manualLayout>
          <c:xMode val="edge"/>
          <c:yMode val="edge"/>
          <c:x val="0.15578608358509946"/>
          <c:y val="3.6658595025738379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F9AA-E949-962D-21AD34A1F26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4-F9AA-E949-962D-21AD34A1F26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F9AA-E949-962D-21AD34A1F265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เลือกรายเขต!$B$16:$B$18</c:f>
              <c:strCache>
                <c:ptCount val="3"/>
                <c:pt idx="0">
                  <c:v> - ผู้สูงอายุวัยต้น 60 - 69 ปี</c:v>
                </c:pt>
                <c:pt idx="1">
                  <c:v> - ผู้สูงอายุวัยกลาง 70 - 79 ปี</c:v>
                </c:pt>
                <c:pt idx="2">
                  <c:v> - ผู้สูงอายุวัยปลาย 80 ปีขึ้นไป</c:v>
                </c:pt>
              </c:strCache>
            </c:strRef>
          </c:cat>
          <c:val>
            <c:numRef>
              <c:f>เลือกรายเขต!$C$16:$C$18</c:f>
              <c:numCache>
                <c:formatCode>_-* #,##0_-;\-* #,##0_-;_-* "-"??_-;_-@_-</c:formatCode>
                <c:ptCount val="3"/>
                <c:pt idx="0">
                  <c:v>179</c:v>
                </c:pt>
                <c:pt idx="1">
                  <c:v>147</c:v>
                </c:pt>
                <c:pt idx="2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F9AA-E949-962D-21AD34A1F265}"/>
            </c:ext>
          </c:extLst>
        </c:ser>
        <c:ser>
          <c:idx val="3"/>
          <c:order val="1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F9AA-E949-962D-21AD34A1F26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8-F9AA-E949-962D-21AD34A1F26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F9AA-E949-962D-21AD34A1F265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เลือกรายเขต!$B$16:$B$18</c:f>
              <c:strCache>
                <c:ptCount val="3"/>
                <c:pt idx="0">
                  <c:v> - ผู้สูงอายุวัยต้น 60 - 69 ปี</c:v>
                </c:pt>
                <c:pt idx="1">
                  <c:v> - ผู้สูงอายุวัยกลาง 70 - 79 ปี</c:v>
                </c:pt>
                <c:pt idx="2">
                  <c:v> - ผู้สูงอายุวัยปลาย 80 ปีขึ้นไป</c:v>
                </c:pt>
              </c:strCache>
            </c:strRef>
          </c:cat>
          <c:val>
            <c:numRef>
              <c:f>เลือกรายเขต!$C$16:$C$18</c:f>
              <c:numCache>
                <c:formatCode>_-* #,##0_-;\-* #,##0_-;_-* "-"??_-;_-@_-</c:formatCode>
                <c:ptCount val="3"/>
                <c:pt idx="0">
                  <c:v>179</c:v>
                </c:pt>
                <c:pt idx="1">
                  <c:v>147</c:v>
                </c:pt>
                <c:pt idx="2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F9AA-E949-962D-21AD34A1F265}"/>
            </c:ext>
          </c:extLst>
        </c:ser>
        <c:ser>
          <c:idx val="1"/>
          <c:order val="2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F9AA-E949-962D-21AD34A1F26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F9AA-E949-962D-21AD34A1F26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F9AA-E949-962D-21AD34A1F265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เลือกรายเขต!$B$16:$B$18</c:f>
              <c:strCache>
                <c:ptCount val="3"/>
                <c:pt idx="0">
                  <c:v> - ผู้สูงอายุวัยต้น 60 - 69 ปี</c:v>
                </c:pt>
                <c:pt idx="1">
                  <c:v> - ผู้สูงอายุวัยกลาง 70 - 79 ปี</c:v>
                </c:pt>
                <c:pt idx="2">
                  <c:v> - ผู้สูงอายุวัยปลาย 80 ปีขึ้นไป</c:v>
                </c:pt>
              </c:strCache>
            </c:strRef>
          </c:cat>
          <c:val>
            <c:numRef>
              <c:f>เลือกรายเขต!$C$16:$C$18</c:f>
              <c:numCache>
                <c:formatCode>_-* #,##0_-;\-* #,##0_-;_-* "-"??_-;_-@_-</c:formatCode>
                <c:ptCount val="3"/>
                <c:pt idx="0">
                  <c:v>179</c:v>
                </c:pt>
                <c:pt idx="1">
                  <c:v>147</c:v>
                </c:pt>
                <c:pt idx="2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9AA-E949-962D-21AD34A1F265}"/>
            </c:ext>
          </c:extLst>
        </c:ser>
        <c:ser>
          <c:idx val="0"/>
          <c:order val="3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F9AA-E949-962D-21AD34A1F26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F9AA-E949-962D-21AD34A1F26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F9AA-E949-962D-21AD34A1F26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เลือกรายเขต!$B$16:$B$18</c:f>
              <c:strCache>
                <c:ptCount val="3"/>
                <c:pt idx="0">
                  <c:v> - ผู้สูงอายุวัยต้น 60 - 69 ปี</c:v>
                </c:pt>
                <c:pt idx="1">
                  <c:v> - ผู้สูงอายุวัยกลาง 70 - 79 ปี</c:v>
                </c:pt>
                <c:pt idx="2">
                  <c:v> - ผู้สูงอายุวัยปลาย 80 ปีขึ้นไป</c:v>
                </c:pt>
              </c:strCache>
            </c:strRef>
          </c:cat>
          <c:val>
            <c:numRef>
              <c:f>เลือกรายเขต!$C$16:$C$18</c:f>
              <c:numCache>
                <c:formatCode>_-* #,##0_-;\-* #,##0_-;_-* "-"??_-;_-@_-</c:formatCode>
                <c:ptCount val="3"/>
                <c:pt idx="0">
                  <c:v>179</c:v>
                </c:pt>
                <c:pt idx="1">
                  <c:v>147</c:v>
                </c:pt>
                <c:pt idx="2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F9AA-E949-962D-21AD34A1F26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accent2">
        <a:lumMod val="75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โครงสร้างประชากรผู้สูงอายุจำแนกตามเพศ</a:t>
            </a:r>
            <a:endParaRPr lang="en-US" sz="20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layout>
        <c:manualLayout>
          <c:xMode val="edge"/>
          <c:yMode val="edge"/>
          <c:x val="0.23664642411879244"/>
          <c:y val="3.3727051576592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73239715065349"/>
          <c:y val="0.16708333333333333"/>
          <c:w val="0.88439588801399827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dashboard!$B$7:$B$16</c:f>
              <c:strCache>
                <c:ptCount val="10"/>
                <c:pt idx="0">
                  <c:v>56 - 59</c:v>
                </c:pt>
                <c:pt idx="1">
                  <c:v>60 - 64</c:v>
                </c:pt>
                <c:pt idx="2">
                  <c:v>65 - 69</c:v>
                </c:pt>
                <c:pt idx="3">
                  <c:v>70 - 74</c:v>
                </c:pt>
                <c:pt idx="4">
                  <c:v>75 - 79</c:v>
                </c:pt>
                <c:pt idx="5">
                  <c:v>80 - 84</c:v>
                </c:pt>
                <c:pt idx="6">
                  <c:v>85 - 89</c:v>
                </c:pt>
                <c:pt idx="7">
                  <c:v>90 - 94</c:v>
                </c:pt>
                <c:pt idx="8">
                  <c:v>95 - 99</c:v>
                </c:pt>
                <c:pt idx="9">
                  <c:v>ตั้งแต่ 100 ปี</c:v>
                </c:pt>
              </c:strCache>
            </c:strRef>
          </c:cat>
          <c:val>
            <c:numRef>
              <c:f>dashboard!$C$7:$C$16</c:f>
              <c:numCache>
                <c:formatCode>General</c:formatCode>
                <c:ptCount val="10"/>
                <c:pt idx="0">
                  <c:v>-1361</c:v>
                </c:pt>
                <c:pt idx="1">
                  <c:v>-1537</c:v>
                </c:pt>
                <c:pt idx="2">
                  <c:v>-1466</c:v>
                </c:pt>
                <c:pt idx="3">
                  <c:v>-1037</c:v>
                </c:pt>
                <c:pt idx="4">
                  <c:v>-754</c:v>
                </c:pt>
                <c:pt idx="5">
                  <c:v>-613</c:v>
                </c:pt>
                <c:pt idx="6">
                  <c:v>-392</c:v>
                </c:pt>
                <c:pt idx="7">
                  <c:v>-203</c:v>
                </c:pt>
                <c:pt idx="8">
                  <c:v>-120</c:v>
                </c:pt>
                <c:pt idx="9">
                  <c:v>-106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A-4E11-AA9C-C2785BC9BE0F}"/>
            </c:ext>
          </c:extLst>
        </c:ser>
        <c:ser>
          <c:idx val="1"/>
          <c:order val="1"/>
          <c:spPr>
            <a:solidFill>
              <a:srgbClr val="FF66FF"/>
            </a:solidFill>
            <a:ln>
              <a:noFill/>
            </a:ln>
            <a:effectLst/>
          </c:spPr>
          <c:invertIfNegative val="0"/>
          <c:cat>
            <c:strRef>
              <c:f>dashboard!$B$7:$B$16</c:f>
              <c:strCache>
                <c:ptCount val="10"/>
                <c:pt idx="0">
                  <c:v>56 - 59</c:v>
                </c:pt>
                <c:pt idx="1">
                  <c:v>60 - 64</c:v>
                </c:pt>
                <c:pt idx="2">
                  <c:v>65 - 69</c:v>
                </c:pt>
                <c:pt idx="3">
                  <c:v>70 - 74</c:v>
                </c:pt>
                <c:pt idx="4">
                  <c:v>75 - 79</c:v>
                </c:pt>
                <c:pt idx="5">
                  <c:v>80 - 84</c:v>
                </c:pt>
                <c:pt idx="6">
                  <c:v>85 - 89</c:v>
                </c:pt>
                <c:pt idx="7">
                  <c:v>90 - 94</c:v>
                </c:pt>
                <c:pt idx="8">
                  <c:v>95 - 99</c:v>
                </c:pt>
                <c:pt idx="9">
                  <c:v>ตั้งแต่ 100 ปี</c:v>
                </c:pt>
              </c:strCache>
            </c:strRef>
          </c:cat>
          <c:val>
            <c:numRef>
              <c:f>dashboard!$D$7:$D$16</c:f>
              <c:numCache>
                <c:formatCode>General</c:formatCode>
                <c:ptCount val="10"/>
                <c:pt idx="0">
                  <c:v>1431</c:v>
                </c:pt>
                <c:pt idx="1">
                  <c:v>1908</c:v>
                </c:pt>
                <c:pt idx="2">
                  <c:v>1709</c:v>
                </c:pt>
                <c:pt idx="3">
                  <c:v>1353</c:v>
                </c:pt>
                <c:pt idx="4">
                  <c:v>913</c:v>
                </c:pt>
                <c:pt idx="5">
                  <c:v>854</c:v>
                </c:pt>
                <c:pt idx="6">
                  <c:v>555</c:v>
                </c:pt>
                <c:pt idx="7">
                  <c:v>255</c:v>
                </c:pt>
                <c:pt idx="8">
                  <c:v>93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1A-4E11-AA9C-C2785BC9B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74293336"/>
        <c:axId val="574290056"/>
      </c:barChart>
      <c:catAx>
        <c:axId val="574293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>
                <a:alpha val="9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74290056"/>
        <c:crosses val="autoZero"/>
        <c:auto val="1"/>
        <c:lblAlgn val="ctr"/>
        <c:lblOffset val="100"/>
        <c:noMultiLvlLbl val="0"/>
      </c:catAx>
      <c:valAx>
        <c:axId val="574290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74293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 b="1" i="0" baseline="0"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สัดส่วนผู้สูงอายุตามช่วงอายุ</a:t>
            </a:r>
            <a:endParaRPr lang="th-TH" sz="1200">
              <a:effectLst/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9E1-4848-A89F-3B48B01BDA4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9E1-4848-A89F-3B48B01BDA4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9E1-4848-A89F-3B48B01BDA4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เลือกรายเขต!$B$32:$B$34</c:f>
              <c:strCache>
                <c:ptCount val="3"/>
                <c:pt idx="0">
                  <c:v> - ผู้สูงอายุวัยต้น 60 - 69 ปี</c:v>
                </c:pt>
                <c:pt idx="1">
                  <c:v> - ผู้สูงอายุวัยกลาง 70 - 79 ปี</c:v>
                </c:pt>
                <c:pt idx="2">
                  <c:v> - ผู้สูงอายุวัยปลาย 80 ปีขึ้นไป</c:v>
                </c:pt>
              </c:strCache>
            </c:strRef>
          </c:cat>
          <c:val>
            <c:numRef>
              <c:f>เลือกรายเขต!$C$32:$C$34</c:f>
              <c:numCache>
                <c:formatCode>_-* #,##0_-;\-* #,##0_-;_-* "-"??_-;_-@_-</c:formatCode>
                <c:ptCount val="3"/>
                <c:pt idx="0">
                  <c:v>6620</c:v>
                </c:pt>
                <c:pt idx="1">
                  <c:v>4057</c:v>
                </c:pt>
                <c:pt idx="2">
                  <c:v>3235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E1-4848-A89F-3B48B01BDA4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20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สัดส่วนผู้สูงอายุตามเพศ</a:t>
            </a:r>
            <a:endParaRPr lang="en-US" sz="20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layout>
        <c:manualLayout>
          <c:xMode val="edge"/>
          <c:yMode val="edge"/>
          <c:x val="0.23767479295534624"/>
          <c:y val="8.81265869724756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94521226804693"/>
          <c:y val="0.17268600660050973"/>
          <c:w val="0.74875759411192477"/>
          <c:h val="0.77428367311457658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F0E-4D6D-8926-FC69142DEA93}"/>
              </c:ext>
            </c:extLst>
          </c:dPt>
          <c:dPt>
            <c:idx val="1"/>
            <c:bubble3D val="0"/>
            <c:spPr>
              <a:solidFill>
                <a:srgbClr val="FF66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F0E-4D6D-8926-FC69142DEA93}"/>
              </c:ext>
            </c:extLst>
          </c:dPt>
          <c:dLbls>
            <c:dLbl>
              <c:idx val="0"/>
              <c:layout>
                <c:manualLayout>
                  <c:x val="-0.23592386616008673"/>
                  <c:y val="0.151894856476493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0E-4D6D-8926-FC69142DEA93}"/>
                </c:ext>
              </c:extLst>
            </c:dLbl>
            <c:dLbl>
              <c:idx val="1"/>
              <c:layout>
                <c:manualLayout>
                  <c:x val="0.25426260615383772"/>
                  <c:y val="-1.21026155326520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0E-4D6D-8926-FC69142DEA9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เลือกรายเขต!$D$4:$D$5</c:f>
              <c:strCache>
                <c:ptCount val="2"/>
                <c:pt idx="0">
                  <c:v>เพศชาย</c:v>
                </c:pt>
                <c:pt idx="1">
                  <c:v>เพศหญิง</c:v>
                </c:pt>
              </c:strCache>
            </c:strRef>
          </c:cat>
          <c:val>
            <c:numRef>
              <c:f>เลือกรายเขต!$E$4:$E$5</c:f>
              <c:numCache>
                <c:formatCode>_-* #,##0_-;\-* #,##0_-;_-* "-"??_-;_-@_-</c:formatCode>
                <c:ptCount val="2"/>
                <c:pt idx="0">
                  <c:v>6228</c:v>
                </c:pt>
                <c:pt idx="1">
                  <c:v>7684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0E-4D6D-8926-FC69142DEA9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2800" b="1">
                <a:latin typeface="TH SarabunPSK" panose="020B0500040200020003" pitchFamily="34" charset="-34"/>
                <a:cs typeface="TH SarabunPSK" panose="020B0500040200020003" pitchFamily="34" charset="-34"/>
              </a:rPr>
              <a:t>เปรียบเทียบสัดส่วนการรับเบี้ยยังชีพของผู้สูงอายุ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v>ผู้ที่ได้รับเบี้ยยังชีพ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2BCF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B11-EA4E-9F47-799A193BF0A1}"/>
              </c:ext>
            </c:extLst>
          </c:dPt>
          <c:dPt>
            <c:idx val="1"/>
            <c:invertIfNegative val="0"/>
            <c:bubble3D val="0"/>
            <c:spPr>
              <a:solidFill>
                <a:srgbClr val="70AE47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982-3948-94F1-C6D335464EE7}"/>
              </c:ext>
            </c:extLst>
          </c:dPt>
          <c:dPt>
            <c:idx val="2"/>
            <c:invertIfNegative val="0"/>
            <c:bubble3D val="0"/>
            <c:spPr>
              <a:solidFill>
                <a:srgbClr val="5B9BD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982-3948-94F1-C6D335464EE7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982-3948-94F1-C6D335464E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เลือกรายเขต!$B$43:$B$46</c:f>
              <c:numCache>
                <c:formatCode>General</c:formatCode>
                <c:ptCount val="4"/>
              </c:numCache>
            </c:numRef>
          </c:cat>
          <c:val>
            <c:numRef>
              <c:f>เลือกรายเขต!$C$11:$C$14</c:f>
              <c:numCache>
                <c:formatCode>_-* #,##0_-;\-* #,##0_-;_-* "-"??_-;_-@_-</c:formatCode>
                <c:ptCount val="4"/>
                <c:pt idx="0">
                  <c:v>10526</c:v>
                </c:pt>
                <c:pt idx="1">
                  <c:v>5756</c:v>
                </c:pt>
                <c:pt idx="2">
                  <c:v>3110</c:v>
                </c:pt>
                <c:pt idx="3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82-3948-94F1-C6D335464EE7}"/>
            </c:ext>
          </c:extLst>
        </c:ser>
        <c:ser>
          <c:idx val="0"/>
          <c:order val="1"/>
          <c:tx>
            <c:v>ผู้ไม่ได้รับ</c:v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เลือกรายเขต!$B$43:$B$46</c:f>
              <c:numCache>
                <c:formatCode>General</c:formatCode>
                <c:ptCount val="4"/>
              </c:numCache>
            </c:numRef>
          </c:cat>
          <c:val>
            <c:numRef>
              <c:f>เลือกรายเขต!$C$36:$C$39</c:f>
              <c:numCache>
                <c:formatCode>_-* #,##0_-;\-* #,##0_-;_-* "-"??_-;_-@_-</c:formatCode>
                <c:ptCount val="4"/>
                <c:pt idx="0">
                  <c:v>3386</c:v>
                </c:pt>
                <c:pt idx="1">
                  <c:v>864</c:v>
                </c:pt>
                <c:pt idx="2">
                  <c:v>947</c:v>
                </c:pt>
                <c:pt idx="3">
                  <c:v>1575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82-3948-94F1-C6D335464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967071904"/>
        <c:axId val="935845632"/>
      </c:barChart>
      <c:catAx>
        <c:axId val="96707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35845632"/>
        <c:crosses val="autoZero"/>
        <c:auto val="1"/>
        <c:lblAlgn val="ctr"/>
        <c:lblOffset val="100"/>
        <c:noMultiLvlLbl val="0"/>
      </c:catAx>
      <c:valAx>
        <c:axId val="93584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707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สัดส่วนการอยู่ในภาวะพึ่งพิง</a:t>
            </a:r>
          </a:p>
          <a:p>
            <a:pPr>
              <a:defRPr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18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ตามช่วงอายุ</a:t>
            </a:r>
            <a:endParaRPr lang="en-US" sz="18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layout>
        <c:manualLayout>
          <c:xMode val="edge"/>
          <c:yMode val="edge"/>
          <c:x val="0.21780168467313679"/>
          <c:y val="3.6658583766994525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46511627906977"/>
          <c:y val="0.1841106719367589"/>
          <c:w val="0.76906976744186051"/>
          <c:h val="0.78426877470355727"/>
        </c:manualLayout>
      </c:layout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DFC-794F-9967-A7DFED8687C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DFC-794F-9967-A7DFED8687C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DFC-794F-9967-A7DFED8687CA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เลือกรายเขต!$B$16:$B$18</c:f>
              <c:strCache>
                <c:ptCount val="3"/>
                <c:pt idx="0">
                  <c:v> - ผู้สูงอายุวัยต้น 60 - 69 ปี</c:v>
                </c:pt>
                <c:pt idx="1">
                  <c:v> - ผู้สูงอายุวัยกลาง 70 - 79 ปี</c:v>
                </c:pt>
                <c:pt idx="2">
                  <c:v> - ผู้สูงอายุวัยปลาย 80 ปีขึ้นไป</c:v>
                </c:pt>
              </c:strCache>
            </c:strRef>
          </c:cat>
          <c:val>
            <c:numRef>
              <c:f>เลือกรายเขต!$C$20:$C$22</c:f>
              <c:numCache>
                <c:formatCode>_-* #,##0_-;\-* #,##0_-;_-* "-"??_-;_-@_-</c:formatCode>
                <c:ptCount val="3"/>
                <c:pt idx="0">
                  <c:v>14</c:v>
                </c:pt>
                <c:pt idx="1">
                  <c:v>17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FC-794F-9967-A7DFED8687CA}"/>
            </c:ext>
          </c:extLst>
        </c:ser>
        <c:ser>
          <c:idx val="3"/>
          <c:order val="1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DDFC-794F-9967-A7DFED8687C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DDFC-794F-9967-A7DFED8687C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DDFC-794F-9967-A7DFED8687CA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เลือกรายเขต!$B$16:$B$18</c:f>
              <c:strCache>
                <c:ptCount val="3"/>
                <c:pt idx="0">
                  <c:v> - ผู้สูงอายุวัยต้น 60 - 69 ปี</c:v>
                </c:pt>
                <c:pt idx="1">
                  <c:v> - ผู้สูงอายุวัยกลาง 70 - 79 ปี</c:v>
                </c:pt>
                <c:pt idx="2">
                  <c:v> - ผู้สูงอายุวัยปลาย 80 ปีขึ้นไป</c:v>
                </c:pt>
              </c:strCache>
            </c:strRef>
          </c:cat>
          <c:val>
            <c:numRef>
              <c:f>เลือกรายเขต!$C$16:$C$18</c:f>
              <c:numCache>
                <c:formatCode>_-* #,##0_-;\-* #,##0_-;_-* "-"??_-;_-@_-</c:formatCode>
                <c:ptCount val="3"/>
                <c:pt idx="0">
                  <c:v>179</c:v>
                </c:pt>
                <c:pt idx="1">
                  <c:v>147</c:v>
                </c:pt>
                <c:pt idx="2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DFC-794F-9967-A7DFED8687CA}"/>
            </c:ext>
          </c:extLst>
        </c:ser>
        <c:ser>
          <c:idx val="1"/>
          <c:order val="2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DFC-794F-9967-A7DFED8687C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DFC-794F-9967-A7DFED8687C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DFC-794F-9967-A7DFED8687CA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เลือกรายเขต!$B$16:$B$18</c:f>
              <c:strCache>
                <c:ptCount val="3"/>
                <c:pt idx="0">
                  <c:v> - ผู้สูงอายุวัยต้น 60 - 69 ปี</c:v>
                </c:pt>
                <c:pt idx="1">
                  <c:v> - ผู้สูงอายุวัยกลาง 70 - 79 ปี</c:v>
                </c:pt>
                <c:pt idx="2">
                  <c:v> - ผู้สูงอายุวัยปลาย 80 ปีขึ้นไป</c:v>
                </c:pt>
              </c:strCache>
            </c:strRef>
          </c:cat>
          <c:val>
            <c:numRef>
              <c:f>เลือกรายเขต!$C$16:$C$18</c:f>
              <c:numCache>
                <c:formatCode>_-* #,##0_-;\-* #,##0_-;_-* "-"??_-;_-@_-</c:formatCode>
                <c:ptCount val="3"/>
                <c:pt idx="0">
                  <c:v>179</c:v>
                </c:pt>
                <c:pt idx="1">
                  <c:v>147</c:v>
                </c:pt>
                <c:pt idx="2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DFC-794F-9967-A7DFED8687CA}"/>
            </c:ext>
          </c:extLst>
        </c:ser>
        <c:ser>
          <c:idx val="0"/>
          <c:order val="3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DDFC-794F-9967-A7DFED8687C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DDFC-794F-9967-A7DFED8687C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DDFC-794F-9967-A7DFED8687C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เลือกรายเขต!$B$16:$B$18</c:f>
              <c:strCache>
                <c:ptCount val="3"/>
                <c:pt idx="0">
                  <c:v> - ผู้สูงอายุวัยต้น 60 - 69 ปี</c:v>
                </c:pt>
                <c:pt idx="1">
                  <c:v> - ผู้สูงอายุวัยกลาง 70 - 79 ปี</c:v>
                </c:pt>
                <c:pt idx="2">
                  <c:v> - ผู้สูงอายุวัยปลาย 80 ปีขึ้นไป</c:v>
                </c:pt>
              </c:strCache>
            </c:strRef>
          </c:cat>
          <c:val>
            <c:numRef>
              <c:f>เลือกรายเขต!$C$16:$C$18</c:f>
              <c:numCache>
                <c:formatCode>_-* #,##0_-;\-* #,##0_-;_-* "-"??_-;_-@_-</c:formatCode>
                <c:ptCount val="3"/>
                <c:pt idx="0">
                  <c:v>179</c:v>
                </c:pt>
                <c:pt idx="1">
                  <c:v>147</c:v>
                </c:pt>
                <c:pt idx="2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DFC-794F-9967-A7DFED8687C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จำนวนประชากรผู้สูงอายุตามช่วงอายุ</a:t>
            </a:r>
            <a:r>
              <a:rPr lang="th-TH" baseline="0"/>
              <a:t> จำแนกตามเพศ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73239715065349"/>
          <c:y val="0.16708333333333333"/>
          <c:w val="0.88439588801399827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เลือกรายเขต!$L$4</c:f>
              <c:strCache>
                <c:ptCount val="1"/>
                <c:pt idx="0">
                  <c:v> ชาย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เลือกรายเขต!$K$5:$K$14</c:f>
              <c:strCache>
                <c:ptCount val="10"/>
                <c:pt idx="0">
                  <c:v>56 - 59</c:v>
                </c:pt>
                <c:pt idx="1">
                  <c:v>60 - 64</c:v>
                </c:pt>
                <c:pt idx="2">
                  <c:v>65 - 69</c:v>
                </c:pt>
                <c:pt idx="3">
                  <c:v>70 - 74</c:v>
                </c:pt>
                <c:pt idx="4">
                  <c:v>75 - 79</c:v>
                </c:pt>
                <c:pt idx="5">
                  <c:v>80 - 84</c:v>
                </c:pt>
                <c:pt idx="6">
                  <c:v>85 - 89</c:v>
                </c:pt>
                <c:pt idx="7">
                  <c:v>90 - 94</c:v>
                </c:pt>
                <c:pt idx="8">
                  <c:v>95 - 99</c:v>
                </c:pt>
                <c:pt idx="9">
                  <c:v>ตั้งแต่ 100 ปี</c:v>
                </c:pt>
              </c:strCache>
            </c:strRef>
          </c:cat>
          <c:val>
            <c:numRef>
              <c:f>เลือกรายเขต!$L$5:$L$14</c:f>
              <c:numCache>
                <c:formatCode>General</c:formatCode>
                <c:ptCount val="10"/>
                <c:pt idx="0">
                  <c:v>-1361</c:v>
                </c:pt>
                <c:pt idx="1">
                  <c:v>-1537</c:v>
                </c:pt>
                <c:pt idx="2">
                  <c:v>-1466</c:v>
                </c:pt>
                <c:pt idx="3">
                  <c:v>-1037</c:v>
                </c:pt>
                <c:pt idx="4">
                  <c:v>-754</c:v>
                </c:pt>
                <c:pt idx="5">
                  <c:v>-613</c:v>
                </c:pt>
                <c:pt idx="6">
                  <c:v>-392</c:v>
                </c:pt>
                <c:pt idx="7">
                  <c:v>-203</c:v>
                </c:pt>
                <c:pt idx="8">
                  <c:v>-120</c:v>
                </c:pt>
                <c:pt idx="9">
                  <c:v>-106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2-437E-BA5F-3A0C7E881FE0}"/>
            </c:ext>
          </c:extLst>
        </c:ser>
        <c:ser>
          <c:idx val="1"/>
          <c:order val="1"/>
          <c:tx>
            <c:strRef>
              <c:f>เลือกรายเขต!$M$4</c:f>
              <c:strCache>
                <c:ptCount val="1"/>
                <c:pt idx="0">
                  <c:v>หญิง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เลือกรายเขต!$K$5:$K$14</c:f>
              <c:strCache>
                <c:ptCount val="10"/>
                <c:pt idx="0">
                  <c:v>56 - 59</c:v>
                </c:pt>
                <c:pt idx="1">
                  <c:v>60 - 64</c:v>
                </c:pt>
                <c:pt idx="2">
                  <c:v>65 - 69</c:v>
                </c:pt>
                <c:pt idx="3">
                  <c:v>70 - 74</c:v>
                </c:pt>
                <c:pt idx="4">
                  <c:v>75 - 79</c:v>
                </c:pt>
                <c:pt idx="5">
                  <c:v>80 - 84</c:v>
                </c:pt>
                <c:pt idx="6">
                  <c:v>85 - 89</c:v>
                </c:pt>
                <c:pt idx="7">
                  <c:v>90 - 94</c:v>
                </c:pt>
                <c:pt idx="8">
                  <c:v>95 - 99</c:v>
                </c:pt>
                <c:pt idx="9">
                  <c:v>ตั้งแต่ 100 ปี</c:v>
                </c:pt>
              </c:strCache>
            </c:strRef>
          </c:cat>
          <c:val>
            <c:numRef>
              <c:f>เลือกรายเขต!$M$5:$M$14</c:f>
              <c:numCache>
                <c:formatCode>General</c:formatCode>
                <c:ptCount val="10"/>
                <c:pt idx="0">
                  <c:v>1431</c:v>
                </c:pt>
                <c:pt idx="1">
                  <c:v>1908</c:v>
                </c:pt>
                <c:pt idx="2">
                  <c:v>1709</c:v>
                </c:pt>
                <c:pt idx="3">
                  <c:v>1353</c:v>
                </c:pt>
                <c:pt idx="4">
                  <c:v>913</c:v>
                </c:pt>
                <c:pt idx="5">
                  <c:v>854</c:v>
                </c:pt>
                <c:pt idx="6">
                  <c:v>555</c:v>
                </c:pt>
                <c:pt idx="7">
                  <c:v>255</c:v>
                </c:pt>
                <c:pt idx="8">
                  <c:v>93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2-437E-BA5F-3A0C7E881F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4"/>
        <c:overlap val="100"/>
        <c:axId val="574293336"/>
        <c:axId val="574290056"/>
      </c:barChart>
      <c:catAx>
        <c:axId val="574293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290056"/>
        <c:crosses val="autoZero"/>
        <c:auto val="1"/>
        <c:lblAlgn val="ctr"/>
        <c:lblOffset val="100"/>
        <c:noMultiLvlLbl val="0"/>
      </c:catAx>
      <c:valAx>
        <c:axId val="5742900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74293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_xlchart.v5.6</cx:f>
        <cx:nf>_xlchart.v5.5</cx:nf>
      </cx:strDim>
      <cx:numDim type="colorVal">
        <cx:f>_xlchart.v5.9</cx:f>
        <cx:nf>_xlchart.v5.8</cx:nf>
      </cx:numDim>
    </cx:data>
  </cx:chartData>
  <cx:chart>
    <cx:plotArea>
      <cx:plotAreaRegion>
        <cx:plotSurface>
          <cx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</cx:spPr>
        </cx:plotSurface>
        <cx:series layoutId="regionMap" uniqueId="{7B158FE6-CAD9-440F-BD37-A571CA47F77A}">
          <cx:tx>
            <cx:txData>
              <cx:f>_xlchart.v5.8</cx:f>
              <cx:v>จำนวน</cx:v>
            </cx:txData>
          </cx:tx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ln>
                      <a:noFill/>
                    </a:ln>
                    <a:solidFill>
                      <a:schemeClr val="tx1"/>
                    </a:solidFill>
                  </a:defRPr>
                </a:pPr>
                <a:endParaRPr lang="en-US" sz="850" b="0" i="0" u="none" strike="noStrike" baseline="0">
                  <a:ln>
                    <a:noFill/>
                  </a:ln>
                  <a:solidFill>
                    <a:schemeClr val="tx1"/>
                  </a:solidFill>
                  <a:latin typeface="Calibri" panose="020F0502020204030204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geography cultureLanguage="en-US" cultureRegion="TH" attribution="Powered by Bing">
              <cx:geoCache provider="{E9337A44-BEBE-4D9F-B70C-5C5E7DAFC167}">
                <cx:binary>5H1bbyPbld5fEfo55VP3i+Hjh72risWrKOrW6pcCdav7vYp1eYonBpxM4jxMPJg4AwQ5NgJPxjAw
Y9hJ97/pn5KvqKZEiTrtoaCZWBkcQYfN0iKL9XGt9a1vrb3rR1fND6/Cm2V+0ERhXPzwqvn2nVuW
6Q+/+aa4cm+iZfGDyLvKkyK5LX9wlUTfJLe33tXNN9f5svZi5xue5cRvrtxlXt407378I7yac5NM
kqtl6SXxUXWTt4ubogrL4ivHnj10sLyOvFj3ijL3rkr+23efP/63zx9///njz9YPfvf54y/fHdzE
pVe2J2168+27x3//7uCbpy+7cwoHIc6yrK5hzAk/kCVZ5FmFVRSWlwXl3UGYxM7mMMv+QNB4XpNU
QRFZXhA37z1bRjAny9g5IEm8efbZM1qfz/L6Or8pCny69f+3TR99gLsDQRIcUHzCdztX4+Edr5Iq
LvvL7OCKf/vuxF164TK+fnfgFQm9O0aT/jOeWOuL8s1jjH78oydP4DI9eWYLxqfX9E8d2jnvzx//
++ePP++B/PTTzx//5qsXbG8IFZXTBEFRRVEVVVnYgVASRUlUWUGUZUUDwndfnzsI5+6yXR70V2/z
/B4gbhvvBeO24VsD8t4dAeTvPn/6yeePv/388X9+/vjdVy/g3qDKmqyIqiIIEs9KrLoLKqtJkiYL
nCAqsrx57y2/HLvJwWR5E20O7YHr2sse7PeC9ont20K3WEapu4xLd1kjCn71yu0NqCKoEvyQUxQV
IVd6BlD4riwqosxqAvDe9tLjf/p5PR9un77AXpA+NX5bmH7++Kt1Av0lUuf6wW/we3N5n3WKvaGV
NRbxl1M5VuMEVtuFVtA4VZQUVuB4AL+N7MUyjpf1cvPks+fzPKT3lntheW/11kD8xeePf+gR7AMu
Hv/sq1dsbwQVBTGWkwVR4jlk0V0EZV5lJU6RkGufQqh78YG+vPkT8eJ5ELds94Jxy+6tAYlUCToL
CMGIfv3503+488nXhVPlRRFIiZrIiewzjEhmVRaRVpUEiZOeJM/JsjyYu/ky+eopPQ/nlu1ecG7Z
vTU4/3pNfv7w+dO/X9cof/n54z++eo2iKJzMg+IKoobkuOudImBUhOcJ7skyRMF2QJHWXwDoI+u9
IH1k+dZA/fXaKf/y86d/i2Ll80dkzD9+9eLtH28lBQEVeCoCh+pkN94KqqCpisjLfcjdvPcdu10s
S1TepXtTv6RmeWS9F6KPLN8aol9QXGMJB/2rOzK0ubDP0o79QVVQaaIMBc1VtWeSqCCrPMvz8GCF
f1qyoAKtvYPzZQnuHb+EDj19gb2gfWr81tD96ToIQxz62eePf7/23e/WSL8yz4VDKqIEGDVJkfgd
p1WgFSEMKxyvauyTrDp2e13pAKUEQP7q1+75zPrEfi90n9i+NXD/dk2SAC4w/dueM/X8CSrE361T
LfIvnvnU06k+BePQr756eff3ajBjDeqfIglIss8IERzHifK6tGW5J6jPk+hgni9T4F6WeQVe9TKd
6dmX2es78PyZvLWvAr4Bf1xHbsD/cQ38K+dlFdoDdF6BZTnlmUIWAR4BQFQFJGfxiRg8RRlEqvwl
OfnBdC9MH8zeGo5wYyRkIHgXpv/x9RmzoAEnXtZESBLP+KwAfxUUyIeqrCCQbysSc1Crqo/SL+HL
28Z7Yblt+NbQXBeyH/9h7ZjIxL/eXM9XYlWSJPB3sZdXuV11HxxaVTg4pMbvUOW+jj2YLQP3RT2a
R9b7obn9vm8NTsRWZFEwKeRVeOZPXhlOXlYFFTlTVRRR5HZIlMSLnCpxKivLkC42772l6y+WwebZ
Z79gz/OntSy/Nt0LyAezN4ji/16j+JM+0PbU6LuvXra9eZHKqqoga/iRWPmZakeWOGRS9Yuiv3nv
L0BWkAsPxtWLmjMPtvtB+WD31rDcBNhPf/H5I34g47+y/CsjdqIDLkJ1QAm7K+DL3H1nRnki4K+D
5BhF659qGD3vl4/N9wL0selbw3TNf76Ihn3ShJdufOTZsLa3f/aKPaYWJJAgqPvPiIYa2nCCzEGJ
ekaNqHr/dPPqq+f0PKQn7oPxXoBuG741OO+TJsItmBAI7h++eun2hlNBnMWcioRZFP4Z7UEWNA3K
BCeAIz1t0Ny1pJfpS0qTLdu9sNyy+/OG8nvP7tHH5Z4O5txVDM946v4TSIrCswJmGVR4KVLqDiOS
eUHhoSiCMwHdzbfqgRE9TAt9/0k976k9SA/Wjz7w08/7vZfpz3Tc6Ddr7vpX62T5yiogJHtJBDnl
+rgq7CZLDItpGs+yYl+DAs7t4vJsef1Cfffe8qswPTqI6bl7q7eG3yaefkI8/enmGj7jbije9534
65tpnKJpInRcNEh3/A2waaIApxNYUQa82/jdhTV3ebN5+tlT+n5vQ07tbR/B9NTVHh0Ehlvv+VZR
7Hvd6HujmvzFVy/c/lj2pT/4i8CBuT7XGYUApCo8p6ESeS52QpHFNOhXz+krYH4xfgTYPwnNL4Zv
Fk44JfR4/MY8CgYY8Pi1RXe5p63AbT3RuZsTRYUTlb76VJ+f/uuz2ix5KeG5t94b2XvLtwYt9IG7
DgvqEjx47foSo30Kr0jgsCr7zDCn2BcrsoL+ibzTQ6Euuh8nUPC+Po/4vJtuG+8F5rbhW8Pyrkn2
D+vpBfCgv/tqeNs75Mr9XAKGbzWuH9DdyZ6ygi43RB8FU7tPJxfQCqtvXhJtN4Z7Qbgxemvw/XYd
UwHcr9ZqDx78/tUdUgF2EvofqDxQM+7GVxSZKnxSElkWs5ubL9BdzWFVSw88pkbxsDmwBwt6ZL0X
no8s3xqoGz778T9+/vh/1nLs77568fZ2S6yBgABwP2e745cSD9kdjezn/HLNMI+rF5PateleWD68
41sDElodaCwkWPzAL+Gj+P2bV8YSM0KqKksS2w9Wo8R5siZJhlTLY3BTw5wnj8PbFUovxaLldXDx
ogHOR9Z7IfrI8q2B+vdrFEF9fr25mM9GtL2dsu9LKpBtQHpYaDs7QEqYlpdBiDBvgHHdzXvfhVmM
jLysbbkx3Au+jdFbQ2538uuXm8v4ShDyUFQ5uBqWNkiKuAthPy4iovbETN/TUer7wauXjBJsG+8F
5bbhW4PzF+upELjjHz5//OtXBrJ3Qsh2qqz1Q/G7QEITQjxVeY3bqUH0qvBewlu/2O0F3xebt4Yc
MANTRVL87VrqweNXriHhXxynsVjRIPJQfXbwk3kFwK6PrWfkt5PicYWkOMGvlzDWbeO9kNw2fGtw
3k1Z/q/PH/9z35v89J/WE5ef1n3K/4IO1+u6pqxglScKR9DXu/r/Cd8RQW2xxFfEipYdRR1T6f3Y
3cuGpreN94J22/CtQXtfimxUvE//bu21P0dZ8rq4AlYOUjukvH6CdjfkQrvDojJMW0oY9nlCf/oK
oVfTLl40MfvIei9kH1m+NWjveOyv1ovsEYe/e104MdQOFovaQ1nr6bsRGHRWhmaAJIrVZZv33rBZ
72D6IiiPoTasLfeC8d7qrUGIxIn68mfrAdleiN0k1H8GDahfqoJUiv6Jpu3WJlhpJkGyVZV+McOT
NiaGY507TRZ7Trwkpz59gb2wfWr81iCGZ4In3YF7p7v/ZOMsr1OzqMimEtrUKFyk9aYlT/KpikJG
w3JftW9QP4m7s36ZCtTvlwxZbtnuBeiW3VvDEvhhBcrHzx/xAH6LlPrKEgLEdIwTYJSLk/u+9U7Q
lWSJxXh0v0fNes3ZNu3Fos+ywlrBl2C5ZbsXllt2bw3LLS2hX/gJXF+7qwl6i8YJLwrfM/uMPRSw
/cUXPWgTE+4S6Jeq/iS5eUlX85H1Xng+snxriP6Pta6HKuaP62YYfBR1DaSFn2+u7evEWwUSELQD
SAsIufKuRoQ5d0zWotPSH30Sb7EkrPD65dl5cvMSmeiJ/V7YPrF9a+jeFzLIpr9/XUSxUxTkdw07
SkFh5zAE9CSDAkqQXaz2hCtLm7e+c9S+gIAAv3ny2W/Y883qe8u9QLy3emvwYSAIpBaKX58011Oz
ALTnvl+9dPtr8CK61Yip2N6N43c7nYrGaxh973c92YGy35ZinC8vX8ZxH1nvBekjy7cGK2pQDEBj
4AvgwjHxz0+vjymYENZaA1EIR8/MtkPixSptjr1z0c33aVOJpn2L7BhD6psDe/jo8XLLei9QH1m+
NVDhpahXMO0FXvRd38H+ZxgSwhoUHolUYrEETGN3u56ShuUMGMuECoFluBvs7kDVk/hgWt28zFG3
jfeCdNvwrSF6nzz/Yl2+3EH7N+v11b8C0pvL+6xr7B2DwXk1Ten72VhyIiFhPkmnIo90y4rSc/Nf
6/w2xpoSCA7eixbl7rzCXiDvWL81pLfkhk9ItcD7u9dFF1N9qE2xjIhjMZG5S3+BODoyGsDf3X9z
Xfr3Q9EvWQq4bbwXptuGbxDOu1FqYInkisrmlVV7FX1QFKqSxGNl9TNLjSQZagSkI1bktafz8ZNl
cHD8kgJ1Y7gXjBujtwbhJvb22RTu+MrBVoWbsVgqhlkvHm63E2xlrGtgIUKwzyz8+xLsXlSJbtnu
heKW3VsD8r+uKS7ghACIEuaPrxtXFa7X9bARCc9jam9X+kPJomCaAQr+7kKVfmD68mW7kTyY7gXj
g9m/MIrfv231/dbf+rJcGutNw7d2rv760XWJjk3Nn5h+mbV7nhbdaa/D62/fARd0ViCv9wPv2KNY
7vns/UKl/jUfDe092izvT7zKzbIosXM5tibH6iQIEBxmPu8WmtU390fYvjKCgMFClULNGyd56a63
O1dZ7NC6Hkb7slC0SKovh7B9lSZoaApgG14UypsLME/C1kni+6v15d8HcRXNEy8ui2/fwebdQXr3
d1ufXsEb9Qs4QAxACtKr5QI7EeLPuX/jck7DMnFQWsJx+r4dsOJYnEUKkUgrEWYc3TqRHrDTXC98
mtbUr2m7sJfVSHOJc8nPhKFaEGHeXfBT6XD1XnMMHQY1jRMiHI9z02fw//h9mJxUtEnJmTYRF01N
i3FNoktpeKaccNdZRAKS6wJp3ucJ8U/a2yIkPk/EgTsRZ8rFrcdQ5YKfMRY7yica9qInzGEws106
VY79yVlFM4udMZ4e0pB6lenTmgpkpRcZneKVanZa5no8icjKzPXSdELSjvhROsyHHxxLHakj96Qy
/Ek9YszM8qcJQ5PMiOl1bgqZzg7UU8aMCF7QjDIaeDQ+aQ1vVk4cS6Y81YhGeEM9i4zDwBAs9qYu
SDSzj5TDdtQJhnfuDmqfSkMxIpYyPxpbjCkMxWn8Pg/Miia34SQeuvPCKHWmIuLR2DnDdV+9l46j
26TFezq3EhGnuKKHdazL1FFIrN5E8ajN565PGPcyI748DARTO/fzkZsbRWOF6ofgyLbPSobWOMfA
YBPaJlRIhgpLxKbWlYJmA7keMiszCYh3xCeL3JlkDo1d4kl6N+b8Q8nmaSLP8e0gSTvAgS4zBHnQ
tbdhieugUHnpp4Qh9aKMJmbEGoV0kbodabHLpY5GJamXckbNZkU8ZtYVw7oMSKwNA+Y4H6bD1hDM
XL52r3nGeB+uSLFSqCte+9JCqM+FQzHU9amcmW1K8yvuWqW1QyR2bFPmxF0dFbwV+bSisWMEtc5x
Ol/rdjKXNMIEJ5GkB83UTmjxAb+qOCDZSs9iVVeS9+1U0D2cs0xdKtNsFPvEzxLijNO5SxkyZUin
czp75hWk6AynNG12WLCeWcRGE/uUM9Vad5mAhCVZ2CmRo0Wk8IYnSMQ7ZX3DLcZpaoTZQChmAa/S
sjKjmnKJS9OopE2rV7G5yqkTq4Mw4ChbD2yTWxQ+Efz3eT2JvJkUyeZKFkwlNBrFVKNJPGZjM/Rp
e60YKyIIH9xEr1MSjyVhqkQWf60lBs6synS5MlYRcQayMMcfKG1JRCWjtTuvG+A6LludZU2eyc9c
OzG61RXjWV1OU00v60nCDJjE4Oz3/NDxjSSm2tKj7VA587hzwZCW4kScCAav22Om0ZM0okI+0zwa
CCRPZKKaXrjIxZHGHQaBGRrF3B6rtk9UkbrjjDVz1nDlC0Y2HWZQOXOJ1p5hj3n2uIn1OKflgtdL
Kk48nzQFsVeE4w7Z8ognORG0966mJ3p7nOilQk/tyGRkErKUXVG8YVAZhYyvwKA9KcqpRHPpIieJ
NHFiqqh6e+ITh7YnpzI/X81WHbGj3ii0JO19TjSZuOP2JGap1uhpZLUnyQWvM9EI58DjP78dqq7O
p61xypNIue1Ph1+NCnvo41EYMLTDqeI53auJahNlOYrLjlTsjbT6wJa0yKycuAPXDUhiiIqZjZVJ
Rd1pxwxzxESBhDWVTqRrgfjUbQYBUY1ifFYRxry+js5X+E7gGZ8WsXUdXfKLAHBquqsYeakn4ocM
IUUPSBURWTGd1GgE4sgjdeF1uhbTpNP90zAMSTH2/blNs05XfSqrpubPC4SxlanOOp9k4lTjEOQn
TkkUxCCFKEPdqgkzT2+CgFaXuqXO/ME4zD7oTTO4dqfCPMB5pXpipLqUfGAXdUTKi4rWR9yhOM3f
ZwZj5TrDU3GajBNLuPBPbYewVum2JFEJoweHtWfaC2V4LQz52XgqTsOJfaNZiWu6voFrw7pmd1gi
MlZkrPB0xZEVPzsrK2v7zhmP8uBVkra557hfbnBy/88fnyQRfta30nh48vE/H+600fOA+9tuPCEa
d/dP2SThfQ5+P0XZ0NM+R3MsuInSr8X7flrSM/N+BuvuXiQPvOTB9oGM9EsxMcSugfTgjinvDh7I
iMArWGmEjYKwy0G/QeIDGcEdHDisIwOB7WcRIAs9kBERr6doGGFYr8OW9mEjnII3ecpGwMNE5Afc
5wUMB4zoERsRA3WVRk5hdZXjzkWWQThmOctL8uO6S0WP5rXqv5fzVTPgbWQU2eGPVpoTkSbzYuIw
TErx8eai7J/VgX+FRqDhC/45p8WXgeiuDDX3fdJWvkZiz77ltJVH2kYai6o/8j1JJpEcTAtM+xO/
cBmzLGybOKl90wm2Qz0v7yyvDhe+0r4PFcfMsnqWyIlnYK+IjISMIFOxEa9UuxERMlzXkirnKhJW
HwqJtce+KJSDTmU7KnMxP+DlOFsRxpaRmsFeQsWQo5QWvrsa17WmUT/Gpy09pSFconpmxqyWfi1Z
rdhkpFO1fMBmcTFpmZW0EJnKOVT9gnQJm9PEjirSMm04VCWNJg3fXDaBL47KVcePosbjKp1xRZbk
DRMS1S3agRKKUWlGTWcfJ5nGTDtXBbMrulAkRc0gt/qto9dSyButsHIO2xwVK82ayDbTpIjZoefX
SUbUlPEDXalaXDdB60qSJIrhi+wiDqPIsNm6oooirAZMJ6tEVZqIcqHXDVNZKYYVU3CEaVs2tBrb
C81kFYKypHYbkjhSpl2oUEarKuKr4VCOaqQLO6zmReF7EclqkSO5F+bEjh3lVFXkJLJkLz+PRTcY
BkEs6LUgcJRD8Bf46tBlpWnehcygTiTLib2BVwkB7Zj6SKs9RU8zdy63hZUqtb4qYj3B7RR0J2b8
kWY3V7KYUiHVPKvqkoKonuYRV8jfJwVL+DK7TrKqBMvJTxw21EglSiDHnXLusLGvN0J1HLpBYuGr
M1AdMaROxE0duzzi4ux9wSpXhV8iUq8qk8udM67RKj334ktBY5tBHssgx5VCBaU8jdn2JOVK2fBW
Hk/dXE1pE0e54UTldP84Od3cXepxbLyLhveR8/9dqEQEe4h3X6q5PohhFTOGWTX2a2ETbfUn9xTa
Kooev8hD/ISE2uun2Hfibk3XQ/zEFJ6KpdEK6qj1Rk0P8RMSz/aihu34qWABPY5hk0vclAO71m4S
yaMshvL2y7+3qzksE9yNn3gtrGJCZMd+5P09lLbjJxdJnSZmXGlVhiJblUtLXUIt12jgUtMqJ5Kj
d44R+h+mqUaQZ0cBijxOF2l4oZgi5fSkU2hGWqGhLTetWQv8PPJow5OVZBRLsAld0yL9wyqirSHf
tmcMSW3S8fpqsiqNpjN56ljeQnpvM0bW6OGK+u6AxatFamEozLQtrrTCArnu0kOnI+51eiLfZk4J
jqLQjoup4C15yq0oKobYI15HVpMqP+PyaQFGanA8cVMSFlPFIxnqIfEoCYeaKRS6NJGpYEdEM126
OhZigp9UHppytvCvpElznHKknVYDzUgtBRXPcH4lXrA1aWvKDjOfhOPCzCP8T9RXtOaIHw3DS6Yj
YjUUZvakO+KOKjPT5/mY9Yk3daYBlYzY6mbOxBnYE2facqYzTS3+OPFJbLHqrWJ4pxF1TlOrMBWF
kpLMnamqBzgFMaa1bziibldH4PctCHuTijMZ5DZWLmJLWiQ1ET54A/eycYgq6GE+1gxeIAFdkROG
ItSRaJ7O4sUsJ3VEL9xYr2WX5KouK7mhjWSPJHM2otGcP3cNiWYnyVwLCTctlIXfkaJ06KpDUUtD
b1qgQgWvRqgcqHpE5VxXedJNK8+I1KtGxguJCXEL0jRLFUwdBUBprUJLQyVRklI2hdOwj3KGdpt1
ZjRHoKXMUZ82YblacNPs2qFFOBGooYQ4a/zqOiNPBvmsGiaFzk46wyYAlRR6biAomsqwO42uRNVS
q/fsimi3rGDFNUsy/pTz9cpSUIdFpLq05VF9qTQjRaJqOQPpFSErFLSUaT1uvUPXHUnJRK3mcUac
w2pcWNlYulaNa1sh6RSk9NQ/ai+jgkYlkS4c0z2SUR1fuiPnUJpLQ+YkKYmm2/Sa8UkiDu2Zo2tD
5cLRj5pkUlzKi+CyItfuoLisKYMfbqxd2LN0EOjpIA8G4RQnWWfHNanOHZe0LGnHreUf8RaQP9RS
cuuY9uzoaP+A/WdNbHejNcY9WE3DehIB21SCD34/yX16d6cnYf/pC21FbA4jl5qMpfK9wrfNeLFe
BRvO3DWq+w7JVsQWoc1jVAxkuL/Bw6OI3c+hQJaXsc0bXnafiI0lFs9F7D5vYNMwVpE55KvtiJ25
Wss0QlFaSUggn8lHLVVImxP5SNNI6i3426lc640uKnrLDqd5Pi1t8iE/UXi9ks3Y0/mzD4FDYuay
WBSkFgbqmaAHY9sceC1tu4HsDs9yk52qjSXo/Gk2Sg2NBrTkqIxAFR4pYk7VmtTJUoqHjpEMZIbY
NSltXRGsJm+I7A/k/INrisKxV+m+/IHjT7v2ym08IjqWq2ucgef5LiXCQkzJiqQdYTqat0vvmqMJ
Isr7iDZQJEgbTMJBYwjUIYsuo9ogmAe968MoGGbD5CQlvBnMpREzSE5Yj8iuXufTqhrdjq2U+BZ1
IwQ+gc5sQhGYwo4gUikdbZbeBap/Us58S6KcwYr0Omxdy7tsGI80IPxCrueinpwz0eIo9Of+KdcM
xNVN7gckbUdhg2VLA3eUOBNWtAJWr52JGB2Vylys51535q70EY3MfwWeinYUqA28Avvrf81TH92A
ZMdNH7/KlpvK4lrQRo8EO+xtuynWlLHwXlAasN1HhWm/FSpoDsaH4I/9PvAPhSlWv6BW5bEGpr/1
4F7ECjen3HFTLPDH7BlkegU3xuu3lN92U5ZPajZkQKzKCUM+oCIYO9kYMioNRh0RJj11kkzP8qws
n5eHYF36JWtkRASZYpcFSTpyuSqHzlikDA9FchJCgCPpHDYO4Sbp/HI1tEOSlCaDv5FJ1hFNMRPf
kE9sUzEUg5tBmWu9AXtdX1T+ZeboZDWyzW7GpMeFN4jHaTTuFFOaKbRZcB+4RSVRVzUDxyhZGp7n
4/gcL8AfFnppdLcXhd4t6osaLGMhBYQ7Ksx2nlurcRYQMTC48/Bw5ZndWBi7rB5AQg0MCb4c6I5D
GRXnSLRZKQzbZtAkuijMpETXZqnFzlsB5Mg9LgbVYHXYXHfjlaVQ/nDAQtwmCp3P27mwCAby/MTX
TxJcvo74OjfOY1LcBKPktLkENwoLGkPIUs0I1ZpnIiAtFszMNR0C0dVd6+zBUWd1444lrktW5w3K
/2MtItG0CAbZINSzATOzLxx+7DRUJOWlN7hZkfBSWZSXbTJZuLp6YQ9dnZml4tAJyA1DbT0tiXMq
D+W5e+iNpEtI5d6Ra8oXMSq6gnaXwVF1ylnZlFHIjWbI1/kYPGjsHqL01aq5nEw8d9R5h824kmlT
UAliMD5EOVNBT5pRc8nIo9UlTlLlzJXF+3rOn+I7RTjBsvXuHJ/OgHK/ECirCzQFUWqW8WxysaQx
3h4hUuqoaOIRh/gZLxzPaCeqanFnyYrOEAzjBY6JZjth9c7gcFA0Wb2d5PGxV5xI7KGdQC20z0AM
XSuaC3RpE/zkM+4Mv0kxlLk5252r9qlNZg5txJPkvLAUneMHRXbRneXgmvlq4V0XwxyqqkNPczKb
yWYHGbMTRpnmE2pMTisC+mfwndniJ6Kz5UyfppNUz83MpnI07BJTRXzml40zSgqKpkg+CAfKsIrA
/BkS+3NtKKZGZvgDpdR9kUh6RcvcqqNBZBuCMojfn0l95yk41+qBMgnOIXhU0sjWaC4QxTP4wfL2
2LJmFSwFIhsdNHBGaokgW4VtXI/TfKiyIy4/DGxHhxCrcectxNcSrZRyyq6ukSyk67bVS/cMwgWE
lGokkO660vQwnlRQtuOrirYDbij3J0nH6eD22DUYXbMCEkB8ZvGm3lFZEXt5ymYmH+a6nqWOgRNs
5prNUdtQWag8VKhHUjXMrOuA/CvIK2A+LNKKhFYs+NH3M8D1RtKP7xJwX7CjX/roVbbyCqaKMWF6
d5M9NOcfCnaskZQ5rLDa3Lxri/5BPgBnhOzZL3V+lFawUzq2gMVyu/WOTPuwPzDcnbSibp03tqd4
nFakRHJcPgf7KzQqmZy+GqZzhnA6umjXK5GyMpF4cDGCuvpDp/M0TIm5GmpkOHBIJIxqbipHOosm
51k+LCfBwh5oeCyPUD73nUm0K4NFOmQqenSL1pYZQeyarHhSk5BmyzqjjS7fMs5lJ1INRd+k5j54
/d2x0SM7zLwM6kBAxt21J11EzkkUDn172Ke+8lqmH1SUdSQwXBNV46A7z6bN2CE1JMNpSxszPfEW
6igVJ4h1lK0m/iDght0KhaTOEFXn5YTYRuZRdcTTTk9PIBMksgnhbLyaTAXTzEg+PPzQqwk4KlJU
/1w10h1LQOvXIeXJZbCA9GUmYJZkNU4oZ+ueQ309FK2iHWUJ9aHpnWcQBYKT+KScZDdDDZJby+Os
62FuxySZJlNEXqoSFn09ilcayxCIGYIojW5JYkaQCXV72IxX42gaTRtEe3voyZQJpgxVh50uJLqt
twZLEzJdNOhhDofKIs3ObeWqiiLKhqHuWq3eU1aEX+dCuhXsWROOlO4D2G1nz4R0FuIS2Ify++DE
daeynEOz0V2Z2NIiOEmGiP0QeykOFShd0UI3ctZKqvfthDPq1SCZu+MuGqUaFaJziQYISteak5FR
55hdQUbZBVVNyTHLdroqlkGmS8q5Jy8tpM324jhuj8B1OTRCY7K6ES+L8ES8TFKdbc5K3vT09HSF
tlPpOFCTx2WqGCiuXRHtubHUDMqVYUNFl5LTFh0efBnPM0uluTfzqTW+9kq0lYqq+P8+toE04oaP
IoaCsLqT/6oWuXWj1MeMeec1tiIb1urLqqpiKhfzJduRTRL7+WzM3mP0vt/s5iGyQR/E8AgmTtAI
wVk9Cm0IdyyUyrtJpb1aOYikO6Ft68RF0PfHoU1oyrSNQqG0GOKwhn/hjeG4PU/m9GqWLYTipPXQ
Fc8OPwiQDbM5yBJJIwS6lrXEasGZko2uYQuKIBn8LWc26C1gIoHwt7zXkIy1DuV0Pm3a45WGoBcp
Y5sfJSQhqWoxoTmNbcJT+bY2an6An/ha7ag9aj0qn/VtpOt2tqrfJ/zQG/OxHlh1d+rxh4pZzjk9
rwd+jOB2iV6Rs7rqTjjI/KbmNjS96E4kkP3VNf4A3N6fxrGpnjWyIS9DAX5wGOuXjN2X4XJpKpD2
PT0jLnWFeXzhUkHvTorI8vvRjygibk28Vne0sY1mdElX68iPLo7e4YR4A/VANxR0jHxoZjNkRFp3
JBiXLNJExlL1zPXQRjBNvLkan8vLcUAUm8QXLaQ6T2cLIi95DScZ0ElDZdKalb4yWrOj2eSCNdHd
yCalEUxywyPDIp2uaKa3ZjhWIBIPVgYUK3IRk6YlMph7STCDAGFzrqDp7Bh1pjtDzR8JjRE5Bnss
6p5GriRlFg21kZbRfBZdhFZ2YWeH6Ls3M7HQ0UT3iVgMyqMY8thoNRBJbjD/l7vvWlYc2aL8lfsD
ipA3r5kpi/ccXhRwjLz3+vpZqprucnPvRL92cIoCASkJpNx7L7O1KVOi7rICtQxG5vf6+qJQiuls
K5S2vlZQ4TPMu85c2iP/lMDhO9xn4YquYtYBqWPAoQAIqbJdgFGDlqvWHjeFQIaTv4releqIA8YV
c4K/7oS6yxIBEbfUX805q6zCcKr2UEWM+yqjDfDRRb7CGp8o4abzL5o3geH/AjZR1hRZMv+QjIxW
Mhg7FATRR3psn8NC4W2b1ixTZzJekrAR1dpMfCigVEupaIQ9V8z2Gu1lyydGY825qXn5yFoVaXd1
jj4mkDx0W4YZM1i+1e81kNSJZD7pFFNunKneRBjtWWC1CvJuyDGuAR6lq3ffKc1WIWYoQFzBDI3i
e5znDSj9FLeRdtDDTE7HFJyAkZV2Ox0VFQ6thkrAn1/5JfbqT8z9/CpiEylpTk8ROyn72BaP4/56
LaE6SiayEg8lUNdplb13u9au7eAUbiA4mPcF9AFywSRpOxSLQqCBGmwLwt9HhYhkPmGyQMvEBMgS
8ExcTasuspIdf5MSs8RxtKqccc/bysnAD3TsB9K/TcfGxMEA0MZqTPHAAYO+VavkJolUT81At1qF
8sfyfT6VTN5OOF0Rm1d1ZPvladxNdrxmVcra+NW/zR9jZGMAfouT05xs5ZzHpq5Z//pse2l4j+sY
AMTBRYH+fyjObw17/k62fx/kp5AEfEjFxVX/gmp+SrZhKwHl/M279yMc4cJvINoAqXzDbxDDfgA4
uFTjIksE9oNLdariP8m0ISL4IxwBCxLRwgZNb7EZ2m84a8eHjeiHYeugGnUFy7clq1/79ogEzrcF
a1km4aZ6ErLkHnPO6GS2j9Q2tcDsOL49mTJm0+U9i3jt+/33R76NvBRLK6riXd/HqCFxC6D1qpHd
psAtkaM3z+HaPKfGCrldargY8foAB4YkuNCZEoFAD8kwH7kIWkMfWWBF6AGKOR9CMpFJ9+apez00
YMgcRSIhffaCnKUggo41ZqURDJxuq54A5me7coxQI0K0N8ST8iFuDUgvtWjLqWsdsrkoXxUcAypK
Y80Z32vukftezFlcjqSfvCwrcUI6uvKzlVhBU5YLpLN3zaM/pfvsIFPffjSIadZIIrI8eJ13S9zd
PHaQzdFzQ3YixRhBjCjb91RaRwQR1pTN8k3+TJxX5tQIk8oaSsnW5Yi1e73OKQPHA+oOGiRyPwwk
sBzInWyoQu+pm1zZJnWh+qKbfs17Crlq7ldHDvfGLLG7KbnHrn/Ad08nDxznN/EqcnLZEyxQPQy6
xZ2+4Zw7ipxVsEqOiYr6Bpup4CjoPHGj4ekS+X1k+9AJmiiagCI1pDs220e7XvYRcNzWPUamQEa3
2RqkIpJVWjkLzDBB1TG7ipWfU3d8761VcU2Om91msEO6483aHUzV7q2rtq5M3a6BAaoU3+gjQuCF
ogIgIfR++L6Al7njWveQDHnqoXQlSzQxBrOO7vIrQMh5bbGakA7bneXWYPt2ekUA2ceWy5luZLek
YtKhYZLNYzc46NgkctRMGSjkJ5BBC4A9NLN9R2sDh30fLcKw3Wy5yszG6E2qlIDM8i75rAWaXZIN
4DHJ7YLC5HsIaHpAh2NP5cHTOzfQkR75x1m2s/wZJ6U9zxBF9p+907aY/Stgab2p1TctOUcpIPZh
LxT3+B7XKYFSkZT5Vtm8y6x56yV3eJvtYI2kAhxpxZr3YT+9zSg5pH3YWZ0VrUvB4x6aDc5wq6kE
Gjt5rdAnZ/OQ5D15ZDV+uFAOeoRq15wj6j2TkkCXJ9Fu/zSukHgS3akPNa1pHDmr8bPSiXhz6opE
kKTFkMpBHJdTf/ullqYQ2wYbiKgDwRGfZfwOsYgSM6N3BM6RAkcbiNqHBEsDSwXC9tTvAjVN4RoG
JAltRPzGndaGp1BJxRtq4GELTDu9+R+fKpPZgPNuHik2IX8YCWpiIFO0Col/81sSpqb8kl9JCCEe
2BKoEJfSEcLN9w6oLYo0zgQPWweHkTObngwiUe+SYvXSm2iFqOQlUC2Q6xgaq9ObKK0HrG5gApXm
h69BtvjUdRcL5Zole8MDgDcw6Uu0JpaVu1hF7Y7CurGAls0pUbzR5K3MLQn4FRC0Ei2Y6NQjjT31
hrJRBVB7h7hW000BAm4lMY3B7T/9hkKySxMGfZNTK6twMps2N3mkc7b02QNpewBUS6HIbemlfyy6
7xon6HIPGTf+HygeYorGrTEVsuqRKi8Pl1dxun97oaOLkntZXmF5R3GYUqejOjSROu6/P4LaCM8W
/FA3AQV+f7K8rLDIivE5JDV0GXH5wDJu+W21y1qWMZeRm12Gaheio2fCYjOzsuV+sKTSCtNVP53V
VXbyWToA8GTx3IAFJjPSZx88FY3P0+QsOwR1JP2/e/j96V/7+20NZoENX6aojt6h5qyR4o3rrvC6
0pwHUq0kHzAG+x5seEwWPMLL8nz5f3m2hJvvy5dHP79TQthSvr2Hx/u+3yQsmVnkfH8GaR2W/3U/
rwU2r38sWR7NeMf310dLY4Au8Z1+v+kLkLl8w+byfHkWWS3lcWZiD6zv79PNRcT57eXvb1TwePlu
fRO8+nZZtnzcYLENZAObOn9byTKcToEKY4UaeBQfq1k+oeC2vHsZ/PrhQY2M0uTtApmganE2kmtb
L8izJhNAE3PcSteLhGeG1+wBkUPoUdnAk6Oao1hh8Dn3G47923NBeLeRpiEXgpIJxs//hbwujQ4W
9LX4XW31xxg/UkEVF3pZoAYN9J3yC+2u6OjWgRwSGR6si7+gE1gswZr6HZz4JR2EXhW5oA6l6dJe
8h+hE+r/m8/DVWhFkJForWUstpj3H7aXQS/nwZCjzgF7Q7i7hJTKgmaJM5DBLcTdZCIjE2ncMLmi
6X6BKY3iux4JyR4KlHWxDZxii8LEy3sbNgfIh6x+tiosmky9sTLanqEKRQJkAffkx+fMhidUj0bj
AtDEYFgn3paDhDPKXZ9pltR5cbCFjkoHz4W0sHv6GVMPEuQuwEYmExgw8kX1K8TxnLha4xh3JIdc
ffDtsDmkMi2dFOpQDgItJIo5tyuQWiJVAfw7G3aTuKipUoLPlYbLDRXxq48JcABkplDGZxZf7SfY
DlSiciddW2n+RU1JgMkiQkFutS7Enyvfq2Van1tXhMR+yfSu/JM3jewBAMdH/oqUtDzrHiwfIswH
GHwBofuX/JVt+eAOOJUza8MtZnzcsAWRzSizy90D0MNV0B0oQXnO1O6QlE3mIzAodg/fbNl+m6cm
OEZWXXn255HwwwrbSXraKyA8eTOIHkO7OZYnt9dhI6AZUBcrLb0lhRk9vlgrwdsUyoxHpheQ8FSO
16SgyHTEgba6dVTgQdJNgMfVJuZo/xI0oubrBJgHU2qqQMLfuf66UWjuNOVDhPspLJD/RkDexW0y
eIP+BX0c/zW8QfQaqWvenXgrcmuza8zBahHym9abAUv74lqXTePAj1sbm95TkvN2REsTWUw3AUR+
r5hMkoJom9tePkE4f5MO8i4nEY5QuFZ2PU0ByOj52e65de+lEDCQXPC0DXZTcxcIwFtrtkn0xBKg
+5i2Yf4p2drDrxysrIL/BQdXCkY0es/gK7C6kGSlGyEfBNPV3mMkSGAUdGIUVOXgm4KzaKTh5Iaa
BfMGKhmuP8ZOtQcjD+sEjFqgAwFHODnqfiAnl8qiqcqS2hwTMtvvvE9aaJL1Tz1dB1QkkLLid2us
zvHpRHgCffMoOHzrLFUPDm7M4/yOX4PVxUEHEi81ncXWdaiSt2qHYBjltB3Nflt9ZIzqDoZkwwcb
7b3KkBgWLMktfzXKK115UrVkuQdNnR7D+yU4SXMWnmO8qVGAzARx6g0KEjU0wYkiJxmnAqjLIT9g
Q2YDFF1GZN9NAd+XPp2VwyBTZWSg7NK1yKj3daopt+8ZUovCZNZOcDszuXWaNUzu96yERwTTgA42
xFjzoiNvZdGB70OvafYK4P6BsA+D0+WmwbomlQRIeiisTG9LJew7WEip2VWw46nmFuEOSjvgPwv7
CsX5E6Ete4OAe1mKZBPLBUh3zBdwFQBLGCm5ATqF7BMatqfK0xjVk44092v19eW19ODkwAShw8Ze
IWODah5iRN3quFUBm8bXgJe/chLLJwjl6RcOGFjPdAIdG2oldnAYcxg+BLePDd5mxXVIBsCVwvCy
xGiFgT8xJVfYG2uFCXvotrFuYy1wNlwxChWPLSxG65heY2xX4cCQpHUmx8N+t9hhJLfn7PmjZmNK
F/FqyybkUIuQdaDgWTXS4EhtwE2BbXb50g5e3/b6UqHk7Q5whsGRR0MgmEJuvQaQsxcac5gGRdig
OFSC1S5g9NIE8NrA/UM2Dk4gbF/7hvpyML9Op4kAl9pueNqziH19lTF5pS7mNhC///aMAT1GobRB
L63FKrK0dvnvXO05fA7Rf27Ptv35Oop/I0i/D/QjbZAXIRyaFqDX9Lcrwf1AkP67PwVtbNEUHgZb
CP2+tS35gSLh4mM8zC5oKA+3B4R8/0BfjfTlTxTp9w3/OW3QVX9Ikk5sHBa6PYK0CWBBAEkKNTW8
iiulI8kV3tc6MEueo23A5GkD5HLehe7g+Y97vNbk1ygQxtSN/FAIuFKYahWcBJwj2ldUG4FPs9V0
YDBcECAyTcqGbBVqgF1SWyoOog3/6lV+jPvkhkP42lrRNtjKdgX5igxlw0mFohuGUCJUrsQdsG5h
J5HQjde5fImVlEBq02HWlMGgQL4UfaZWt8lVWyk1e6oIn9hK4TaQ0OjDpuQCa0D9PmISP5elA8wB
98uLoSsedL8iSf4xpazRt9cQuQVviyXtvIZb58FRGS1O7lEcunhZq72rehHyc6ZlZojoOYluqeDk
H8SdiODa4NuDhgUWXKQ2xkqHexH/1QznLUyFGhk5O2tDwiY7UuJ1hwps4GSo2o/ZqsfeIUjDClgh
H8DEURK/2Y9vEKZMLTCcBtOn8BG8lskoeOUDKZwe6IWXcuQQ2toHZo2g3UMAgs9iLo8pHsKQB+lL
bgUFY8Y6FCz43K46MAZkSsdoKSSYck5kOwUy0LnZjbMmW6fSx/gWw0baVo7WI9A/Sv2zAF6x6z90
iNdnoD1AxaeBKByHt8E+knmd7HGAlzKwGQDSfID/yPUSRFs4VI2ezL0nmvJTvRrALSWGo0C9CmvF
B2Al1G+jm4erDLAGfJj7KDq8QG2BtlKvfWQWwB7jDcjsHGK1Rtqo1wa4UGAlvIkPJTxVZAq6qGut
l4pIy4Qz/gE/qd+W7UmUwxjsO6BesO9CxrwF+mSO57mnQsP8ABxYAb8o6+r9kDlaaKfFo4cdRbOE
NW9QHXW+sm6OmVnnoJ/3WKE6HBOHg+lSB9WV01jcBvivlgADiiaC5nbYth+aNUX3HESh6Ia3+Bbe
gFdGZqI6getb0lb8EJCKia6RM0MBGlJrIcJ3wEBOwS+ZGWAiggmEkLir4YoF/hW+tNROX7Krr8ej
eDIumQLKjkx6QGJAUPGGl/Y6tDgFHMGsLe3O+LhJPZs6M+QvPLJ0kda5fs0hQNOLRxHWbt18ca01
jkc9XC0rndVzPCN2R62Z+S0t8c5Mu1Z+RCbI7NXotfwnjoWlKQcNKb+cwS0g+g6/u6gvnjRyi7ST
JCVLrNxc8qjJFVdpwrKTgmzUB615kmFvAA/ZIgmDKHAidcKm2i4Dyt8XQk8nnQHXBlI3fU+rRFpB
sRuoLek346bfgOgnsektgAyQPHgwPTVYayU8x/DphkTmziO8yx1NSnd8yDyDU4Em4F46+BDIsMf3
5cGJjNF9nBgTt2tksHNfYLR80pwrkHjQMAoAs+8F7J0yMlTwZIDbrBAobOp2nSk0JO8fXP2Meyb3
nicazgT3L39DilWIx5pSSQaa5qalDU+xZ3xOLj4yb3Q4jWklELG4ZRo5yY6Q7qOO6C/G+3eaGiKr
BlsS4bR1+aMc3weOdW1CaSAgy4bcTCGUeTGOyKc/X2fpboBBWvA6qOtG+C8SOiBhHiHlAMj1tmR+
0CtTZeNl86c6I9l4jAam4mj5S4edevE/J57V9ISvAputo7UAignNkVfj26Q4sae30L1kBzfvwXT+
+9MExGFNl2CUUjRcYPB/kkzfesr8aML5V37wxwg/8gMVVikIFWA6BYoAmudHfgDDE9IS2J/QNXtx
tv7EMuno7AoySUGDCzz8hWVCaxbgE8sFS751SfoH+QHEF3/kB9jw5RoKINmQwPBQMf+cH0TywLdy
NrWObvv9vJHLfRMc7oHOSpFE5TbgnQAarQhaTs4EJZTCHYJJ810yLnHN5m4DcOujcQZpN2UrvwVt
ZHMOYngRwOONCrGNTVntSAsLfmDEdiXZaLxQBbsa6fZ6mduLahWD6wHl7AJKqCDQnC0B1Lh8LcoV
KvkAQShy+nPviiZkXq/2nO+LY4c6rjhy93nd6awBwk79CnI0nn+0Z79cLWosoAiQ7UNbxEOX+coA
Emsoz0fsXkP73CudPD50EhneoMTUSApdq0/bBh9xwxMUtiNPVNHKvOKQ7nzGmcfkAN0sdBwxJvLX
CC1vV5ESpnPoi15oNpE8DEi0xsJVeNJ9QosbDpYCiLFdjWt+cJvBTHeAG/JTcshM1MBWe1Jx5x8S
c/cuRuAlqCzc6hIUF9KDg4pcDe0PuhIOKqAFIiYm9W3a+4hnaEBG9/aQW1XnRvwqDneNROzuDb0a
5mPUsr091vTdTpvtLLpouZAduk1iosWE1G+REMGHRi1ftLRbnIg2hzmdp7KZObkE0QF7H5o3jZb5
NVIdH14niZEgMPfztgSyXFmQZiPwgwkRz2XKoL0AubUxpE2WWPjTLvPWMMyE+tZey/bZPeaX/Zo9
1NYUIgORGBGiKUy9IApQClYh0w4QPM+rumDqDmHJLlJLfFeNnfjeVQdO8AAKFBIdve5dsAUYrnpP
sjsrEGpHOpSY4RWK3xBkRcsM0el9CHSPoXYQUSdLKJcmhh/XUc/lbUaV1hB+ARLEfbkKNgaogxWq
cwAZN3RJsAwz3IGUCjb+OZbgr2Oa4qW6hSMxTej01i3xo+tp17qF+tVVbxzwMqTFfM6ZuhI7RBok
K5iNS7Q0t3C64aPm4FkJHAGRECzKuFb0K0QHajG/6SUAuQ5IAvs6IP1y5mwHzfChf8iQ84oKEHwL
suM48EDthHdacyR5RZDV0G2DVPsFz+GUAC26iNp57DYYIbJxVi7qRCR6NmTLsi3L0ChPUCuzQkWP
BxF9MzDwhypvBuGSffBrn46aiToenrfKLhckhlSCefjw5U3UUAPSYcBxH4VuqdshOcQfgogWEinh
zhA3SM5LAIsLzQxyQfWo1OdR2D/YgQOVEPpfUHoHNAVFFDrgsO1q1fZnpSRt69OvkMAytT+IPRJC
dV0LVppxBN3izAnnDPuYue1z0N99kgZgwWjnUyVfi9KuhuT+jW/3qpb/6wV6uFgcFMCL/RayXvF/
FrTfIhUp/m79/Veo+mOIH6FKhpMF2gUZ4eWb8+tHqJLQsBoFq4KLtsJK/EuoWvovLKY0hI+lXv1Z
EAHoG2YXXPB1aSX2TyrZbzHvj04LIoIirlmA/hK4rPOvkYqP6l6u1bpxWunaS1cOQI/IeMHurgr0
Rzmf04zbF5i132DC1+5Ayy+FpkDQZHF9joI0u+RVfgu5TTuig00WbmQvP0Pl6m+58SaCzOlRF29z
V6g2Ag9SLJlv0n0AnquIJGmATbLewCxw1eDdJ8q7WIM7A5ZzLIuhJbo9jCg7lCzbdFDBWeDEEyeu
D9n8iLaAkkvBTIKKg6UBeaAh0Hrtg3lE9ZxnPEnhUvV3WmqFCih2GB7AnkceXB1onPDC1O1UDZa+
pNV8m181jPsckffQ/QZmdGjs5iCtKtt4RSb8L3Z2EV4+A9LrJSMVpnVgQj21aj5h53nVH/Wp2mQ2
EGvoz2CIgYGEHKH5ggoCnYac2RlXo1NcuG3rAGnmQNQH3lDiDqYV/AlOnhPgzSFx01P06H0W6yRl
ipOy7FHBkQIG3sQQBB4ZuEMWsTNaU0HwXFySQ25hGTZ5xq5Enov3QByHDUVXhdXiUhlXy9oEngTL
+0MWW01FoCNA3wjdhKyK9ivE5MiLDtUlQ2emcNmSEzopKIfWVGoiv8P5C5+MwNY6WV8gLMRtjl0V
4NrdHDqUHwsqbe9T8hbPdPCfZp8S8rav7hAiLBD1ZAkeTDFuvG1T4p/ypwoquTWl2hLvPvwXT/l9
raaw7tqCF28n8LXQLrz1Zv3sQFLfFDtPSY+uRvk1i1BUyBbkiC3AdEjiDzWUoWs0srKbmmGM2TjZ
3MM4YHwcLYCVrclSbMUu1kV4bJhmQ+iIGfeJd4sG4Oe1Cnlcw7B9Z8nDU1slz/VkvWFfTBtqybeO
rQcrx24gBwFOqhLJDiC98dC7A+rI2RM8yUuUY1teExy8dvyEsiGE02TTmsG5qQ4ZwH5PUQhUfdxj
+UCq00V6OXsQPOq7GTP7tgErA/g+JbdBouJ7a2qH5NyxjjVgl2i0lklnJa2Hb8EQ3upgI3hE3qGp
zziZKSvV+3RXd3Hgm8vWaPYNQT08TgB849saO4k/rEpAWytlpQFFnRRTsaEFVEjW3P1TEjIFcOxk
7Opi20NvGLIUP4iNvYWRjVddMCZ2r9M49XgQ1Ffj274M9+m9aMwgtfCTNPdSIURmcMEXqlO9v2uP
onaK6FICP23We+LCqcV/SiudR+wBzK8TzAiP2dEyEsFxNfVO/dIZTGpqBOsaWB5obOqVzmASgJTF
/0CdRmI0QVMWAUgebLLU8lv7jRibG4WUH6X0Gc27KgBYgdl7hDd2N+WAbzXzZQqp7kS6e6O8F6hR
Ix4nQXjkC7jXgFCB9f8yJooDJ9eh0qedbmfVYULaVh0KzRFzHGn4LMr1lDaN2YjrCgR1jY4mEQ6E
3oefG/mVsYkAUcNeZjzCK5cyfNciuIf+2LEERoPanO3Wk90K1aRsjzC11tQwI7teTSUJ1j4RaBDB
q1Vusw+fILKjDxbIRitxDZyOKeHlIzZw7e8a3c3hnqXFGj9oDAZdos19OcGKNY467YCfbrjzIlJR
tzVh/i9xjKJqh8UfYmpHFU3oTN3eLNYkxhS0xY860zD1CiSN0Ps+sZu5xm4zjpQEGaG0edfQ2SCi
4U3+gIzBkpzXOTOHSwxTXXxSI7iwwECdIqghxuXg/xwwi/EO79Rexd84qFdF+H+5RY5bWDL6MKDP
mGQBaRAVN4E6S69AuIDDmJxcWEN9pd9qazabDxnIAVUG25AYvLhEhb1qdMXbDJEAem3lPT2p/kxW
qXTkeSAZpqZ7k6cqK1FAzj/gFAC1FJOEte2jri+5ctJCbyFDJ1u9pZ7I4Vd+pJK1lgMog8ShQWe6
k8Zfk+428Lolz+AF32cLlRm3B+MxW505OfXgIMIgAknFrqT8KoRuFdYwp7SVAXdUOlXmaPSWJz6E
k1xZDawuPAOoEGogPnVT6Xajju57Tgv/Z2Dxqx7WQN1EdzHCeQWITTKaACKUwUSPNgW+jYyljkj4
W5ldfXWXm7JTsPpSIHyiBoQRp11UyqoFwwfT4OYsTR46EUyZ/cbf1uhqKNB/O0EBraiE7EiVlQUI
QHn+3wmKv6++m4Gl+FPW8Ns4P5I6zTBktNBCH3RV/MWljIRNRYdtRcE1EvlfPBdoj4UkELSJDmAA
SeYPdkIX4NSAMBWX4kNrLfmf5HQaBvotpftl75Eh/gI+tEkLNFMZOieZgKiPivqO1llNUApESJNd
2cGXq7Vng+MvzZQzv5J1Mmh0CqovtagTyleo4uYa0iY9g9QueWRFf1TQLAsetMLqErQKNEJpYqGv
q2aPhrjbLM1PmWq4qYYUbMzNKKqO9QAgGZqGylfWgo+WeophteFbGwrcrYrQNcuPg+pSotcYYLyJ
w6QRd8+wSvfpNFh8El7iIvCCAH7RIsgBg0MNJ3Bfk1Cv03RwhAI8ZS+blYySRsfFRjtVghN7uKp+
f5FEbiW2MtBN6dDNkG/o/FPhIdAsFHnbldAVZJg3RMM0ggTILtROaBraCTNEBDFPelgZ5Ca16l7Z
/9vPIpgS4fMX0Tt8MWWiBvnvZ9G+yP6zr5/lf3Bd8rbuIBL6ce3Ivyuk34f7cTLBHSXhZOUXhdCv
rTlQGum4iiVeltAA9+cKCZef1RSI2FUR6iIIgX46nTRpcS+JaKn0fbx/AOZBf/7H+fTL92BgI34G
81R5lIyw7uD5t9oV0upzkiGvgvGOoZ3GVaXwAvVURNONxZcD+S76HpqQTAeA28DvKK0zBZbkA38i
kN2hRRGsUMq13jc0WY0Qocu0247nep9yaBUgrcHruIvO+z7CnC/uhwCe6Z7AM7V0fkVnUsMRQMkc
84BFq8He7UorQu3UkUajOZDxkfKfkNx8cponJnbxaBIGKUzidckeSH50XkqB4JQNbgggzwMkV1AI
SV/FpbADMyCjj76SkGJAb4PIaMW74Bgi+bXQx5amhQulqKd4zXo0zoVuBo8xskLNC0sWYJxZAq2o
wy4fs8DLNhjO444LpnLCuQfvM0n2F3AOHxq/ky3kxOiiSXDWSTC0w22Obh9POpuwxQxufhxmC86Z
xQeP4tCtAGyYYgE1DIOUL2PwuOsNGhUlaBtJOkfo1o0b7WHEMWGn2fQy+RpW5Wa6LerBACrPGFGd
bluqPAcXKgnBzQzHn09R/cZ/2O/v01h40MFCLzxpH0X+4LyOQIchHoW5JGGH6sdEthA4AaTT0/TO
i5dIfWC5JJ0CS6kfSmwPS4cUCeZyZizEHsltjsm52xdPDVJhGWKP9KDEpBFAdur//ui8XBpRklVZ
X6Lk/0Rbvlm9cbmJHFe5/CM4/z7Mj/kEkRehFg5t7XsLth+IC/qHYLoQAKBAYvgLOYCwvTAACM/4
7GIc+RGeVW1xgQOQQbCHHOGfhGcIK/+YTxaw6a/9Vxc76M/ziVy38Yh2RC16BdQtnaE+L5m24m7t
rtwtFoPigBN4k7do2czAqtvNA0w7LS3xUnbg2Uj6XlQWdxvGTTbsopTtwtqDr2KAKyEyK3oGogs0
GiNBTz5SzZlHjqbpLjPVERPU7KLAMS3+kqB+XFpk5FbhffvH+ISE9zM/Oui/W9CX9VJiy1gZwAxI
DTPdp6WsoJEyFQ6qJRqhocdIFN2T8g0A8Ax8I8CVXMeEh7fmu2ZTwNswfA6hl05XLMfa0D3aaTaR
2fdbiAx8KMXb1ZTYy1b72DLg/jipUD8qTEbPhxW6vgpH7SZoHhwBiNpmCWkYelvLCRNB2t2Ckr6P
JXjmlaAyUQCCDj0hzvnURtk18t5eMQHb556YvsXASvf7PcjZFug5LAYpNHfiqfeEQ/zFdwR/JQAi
eAmdcGBJcJQgCLDbnaTuCq/Et1Wf2pMAOdwqM0XM0pVnZab7YjuZrMsvyY6vxqOCxhHFYoD5giSo
lk3UfUyprMQg83a2FWxW9ja8GxuUaxsZxR/yGvzhZX5vmEg9QtlC+8oYXZ1LGojrAJL2g75bA7Le
VZ+Njb5NEIGLwI96gYasr+D2eJxzUiPlkdPVDJcoCnfJNhQ0p3vAulAOrGELtBCtawjw0dFur/sb
v3bjaw/Cc0JjELgqv/R9qdPyAvdf8BT8W1QQ23j0VHlIvB1c7Hdlk61hEJ0dI7Nz1OGZvTZMG2BJ
thbRxu+YAN0ZrIZ11vQudwT6DTa8S4ceYJKxutG0jaiCrtn5qgmPOmehqAUekl6BkgxLFYtqOnED
dYBvcVeqOmgkSO8BTKAXU5+s8tDLIMnflNqey16nEb1ndC9pAF+R8sCH6669jRdYPSvJlNFlEOrZ
KoANYVw6O49vOmgGaHGALSheGbNIco0zt3Z8tF5DQQafIGygcBagwfIKagBuXayEffLCrI/WHRMU
ATflvPjZ/YmJ6M8D/uP/kHdmy41j27X9lfsDiAuAaEg/om/YU1TDF4QkSuhINARAAPx6D6Tj3Mys
OnUd5SfbJ1KlypQoiu3ea68155ixvptd97TQ57K3aK3hrYVXj24nM/VDH7eIdzI0No3Nk+lfobrH
c7O5OXoURIADqa+33bcCDt8Hh7WrIVqHEzLuUHO6pNEZqcYiCgYFeQTwd6e17k6xrCvzrrvyScCL
ibMRJ6UzbIpXGRNr7cxnK3Q9iwBjPujvY2mjuEhQFJsVWzb79uZZudhWo1kjGjYaA+Lk5ny85YZM
zwFLrlvY2WhGdACZWmkvC9lBzkcPMAFyvc6GVWa3q8tOg4st+3mzxlvc38wQ4p81It5z2rfwBukn
AaYaVp1/L5zwuShMcb24wzkRtTeps6HfZ2ZKW1d0VMZvcbZL6E617MIv3DUpdf8VimyMkijQ4X9K
zKT/P0X2e5t00zH1z8MHSuvfruTnVvgjFmhi6smkjrDX/rIVSnxPnQMqnZijv5XWZGWyQUrKjFhN
nYL451bIhspJlVPvYtom/xb1jj35z1shOC1SrxVJpvhnZ/1tK0zjlHNpObTe1R4OEstFg3Dp9oNZ
otEWodl8uOAZBDjxesU5iNZD9ZTjbWrPJ5FTEPgwc7pdjqXq4dbvbKAzrqewZJ86WPtS6JT1I24P
fY3IvtmxhaaBckzxId43iq98aeNbjKVufFNuMz+prU4HDQeaQKey1r06SGpsopMTv/ixAbcblNk1
g3G9d+CKSjS8GGmrns7m9plcTEFzL4iaXsuACYTl5hjZdFtGtJSakfJxb7bXYnlfWOIZd5xXIjYG
z5U8P0ZLO4+ZId3PcbfimP0ZOZH00gjGBTiRDKMIlVrmu1+5Yuujp19obIMz0u0WudLdOPn+U8xc
vnMQSTGzFhacY0EbQfuaL6PevbwkH0yXt/rxJrrRzO4Fh8kq/AMrRz/eAiKFB4Lu3C+zrYJQjNHy
3L+6jYsWvmKCwfRAfgfuJ6JeukJMoSuom1JgG7LPpru9vEhcLgoXJlqE1cJW13MLW//oX2Or26qs
ThIE/D61guas1XejpGcAGq2wlrdn2db8JMxC0ar6j/uazifacMGliYBU6b7Wm+fLFZWeJdmX2MCQ
UGs2X7gZlWj259IqYDqY3eYWxD1VwaQvv+8xHz09Vve7JTExR+N1EMMmnG0nC1EuGirLf+PdgJEB
0irA8Ktoy2drnaGtrWN4R6HMpPfCvJdxsNxuH/PnxoMLigAZ7ROpE/UH13ItfG2ftZskC2/4G9FZ
+IUUKrqh6nYp2SU9BMScXFHf0m6wd5fS8ZphuTgLZ77B6JoLMYeesW3IF2gtAdfVGXKiGjMfOXgd
gk3pjGtcgeV2uHisrhjic3jwunBXvmDcbzpOaoJx5nRzWXWettcJEjDPWuHVL8ITU2csfBr2+bNc
4CuLlU1DZkbPDHvPGJo7ziVoafPIxOAf1zjMFufyA6kjhtvI0tqtGu3nWK2SFReEgQCJq3a5t9Fs
w89HuLYYco/DktvNBco58lTJbgCF4Zn0+nDhx/8CliqCeUh5JySRoSrL3l8v6oeOcNMln/58vmEq
/NuV/FzUWX6BL84ZHwN2YX3+ZVEH6A+wCm4Vdqbf+yWssPyYNoMuOv9N+8Tgm46lzB7xH+msf6Nd
gvz7z2s6ei/SjOiD0suZseX8erxp2ouaznO6HFRBU8AEk9hlrIpmkp302hIozZsEX2X+jSw6WU7g
uLPCqCN32j5AsWc1AVpiVfzuAtIkEPaOayF3MsSJWJ4RxlBe6yaST7wNyeww+XTbzSBY9a4jlMLT
WVrHQEk8jgkd4xwnt/UPcaJRKQ2DPOsiwUO5bWuMW7Qat2gxqycI7jiHRLPb92tktJrZmFrMeSsP
IcQg2b0DV7Ud7fnBC94XxlBkOb9M3oLzdb3QPut37F1ODOrXeXA64nzAXNlrn25cUnM6iMSGWLqg
Yx7CEcJL7uVeuqC3gUFRWsrjUU5XoiSbPRJJaR3pjLJu24KLD4hTRCS5Seeh7hKTh4WoJw4iZm4p
hjOs8guikjDGxpsZGsR28qRDjwxgwiYTC2yWWGWyEmYkIeDVnzHVp8wGYNBiGaaF4qscgV7VjQzR
vrZKTgDohl5Hu1y3Y23le7AIk4ECESy2WqSVkze2sbk6/ZUcHMz/J+JxSqbwm/H9biVvYMqKp4WJ
6Cpl57vefWVaTlYp+pYYughjL1U5FdXNmMGDmr6nU6AKpjQs/WhwL+OSE4Bq6JsusrvvrMHnD5XB
QEHHccG8bcHZKM9UrC+gJ6Nt/uVXbJmjFKOgQ4ptVB/AuCGaG+KhfIUXEzkihSmTNmkfPTV3W8OO
RVpM1YRXjk7XFU0tbHQCaNvJ5R5lVr7SMxMJQHqcQ+8S3yIxVNcpqJDlY4/VPbLyY/r1JSys24u6
17Yc0wxXN0XlM3vm1cX0fRoOJ5CtO148VlV9IvNytM0Iyy1IfeUwy5AvH9k8lrcbz5+hHbLvNAV4
s9AsLO98hamf0TsKEh4CXiw+i5KxjP2qCFNfGjZuLZyam5eNNsM/ahpDMh6q8dJYC9RHFudNyC+c
9GTZ8GjxyctWxX6Al5xoGH+MOU6Lb/W41k9Sceb4RdhFzhcXp+Lhy/ONchA3ksvh8xPA2ik33TvE
HZg2kJp4EtmGHtZKho4u/qgYVsMUgZWFGd0uWqEGUvWvWWTmR4yBkUryV4wC4e7NfVn34rkHwQZJ
NNwBs9EySOWJhyce07q4RqY9df8eNkYn4ORNRL+OAsNPVvpZpOn2etecpHUe0H9KF3P/xQ5mXxVQ
tx9mKXqeYVMdZrUXczBFSY/AT+XYaXaJk78UnzW3bS35pY0mn9QiqoTFVza504TUTBn6Vi68eje/
bsp7qJEaonKfJhfb+/UzyYL7bsruwWPmzgaDvVkFy1k71cWVjkrvxNjzMieqvNntPeGtOBgKPZDP
m4OdPFCboxKfJnuiYAbY5kqrqz1k0e+zbz0xlc9+iU8uGENtD40YpYrMXT2kUD/CYpXsstP9OHeK
dXSoIYA+L1zCMNwLOuQs8cWnPnLp3YaMPfqEcgUtAc+zTTtjGDYzpMzJ+2O0u6uTIcx/5wwsLwmk
MjjxTvlq0qZ8fsVebVzppBKSZg3HyrwE1Up4I5THmYvG8JUYgeIF+CDciy2Gt6/qWB1HI4fvPp0W
8flXilEgOadH8yGH6aFjXr+9osEMiuAqGaVDso+9WHLotQSL+2aIT3SykJ/jJbM6g+M0o+HwkJy8
rqat2klm6kyUhshgxulWX+lG8F/nO47TI+/t5YV8rz4cOk7GTsrLz35s2Qhul+kD3Z052/DUbMrv
UXxbNKhkhw3fbgentJNli+/RFAlOo4vG9BuayecdRsglNV57MzCO3oUXZpCFMvbCeUhHoTnUh8ex
dGgZaZtmEz4wu81v+1ayhNrDgUa1xkMxkrdmqETORcebhd2HVBJVd7vRfH5+vt8wmD3e+iIIwW0/
t4tgHPAguHwwY8OrphpgQHM1XLT8S8AI+iLRs6GrcQM6wVbZ2PNTbYs6eIVO2kOiD1HGF6ol66e2
s0YERnlY/e9vIGPX1tDpkXGBOYsG61+XV+iCi/j/hN3/iyv+xzQKoffv1/FLdcXxdqL1TQXMH2a7
pH3QO5ZJTwZX9OuRmUnwjKDGBQJCTrR865cjM51lCPNA4nXoo3/Lsc7Z+M/l1c8bTiU3WdN+cayP
aZmkUnvpvAytDsqsyJZmZpp74gPenZniUkdCLQYpjalo0ToNpIvPHLFbAeLS7SS3KGS/qT+73hoQ
RWlhcbOuiIbH05zovJs3f/jUAkzjmCmZ8+wlkt4umw9ZesV3BQFapChS1zNUZan9JHl0dFNjVRpj
Gfb24nPVqufyvXluEzuS3Oa5bhwR5aqpzv0BvPPFgfbs+BdnQZDRqsjNhkAQqjaGIlCEBBvEcmxD
11G9PIw93TnlcOiN3BVM32fxtxZ0hCFTF5sa1g4CbCTQ8Dt3FU1dHKmqPzWnsZRvQJKqSx1zx173
CPtYSUzgzFbgWK+HVeWLKxjcpp4hJjRobSvHdoNg2xE1bgYauw3BGFjxUReb6sfCvjPbuq78ovK4
NabYvynKgc4m063Jsky7fual9oJ3rjX1tv2SxJQ5WnzKKSMT3uiMCz/w4PhaDUH8FGl7s2RMesQh
N59c+tRBD/Mug7xWhE9i4rXxkt54JliX7E2IOqPXagRHX19bsu7s7hWaG03mF4XmtPGZm3sAsLjF
6WkAUwO8VDkzjFnUQzQzduIqe00+k0/Vk2s8A47Y2/Nhx2P21JEkBKh0AxZ6V56EhQOsr3wtd4VM
8bt4ecqZJcxveNYc3dNFi5aqZrZnApWkJeShKd/KoPt3iO9WgyhyGju4fWzOc+smWmWQzGynZ61z
6ZLPLKpTIIeT36CGmISKFCvCK2IaMjw3HdKypzncLNlkwpnKPmYAoD8tzKPpFz78hz+kQBWxlOXe
ZHHDlIe6p7QdfGq6l1eMN8TV1Us+NdOpqZa5VxCkze6kHEsapzObtszC2aKTik7Q/GkhcLscaXcf
TeFOQ7y/hLx86sRXQNp8zhDZqxaVpz8YX58vOc5gZiqLVUva04hC0yxUOIXK5zy2xxgYDzbFuHoy
rnMXyScYc7Sz69ly4WCl6x5vm8vwmMbASKoM8FF8h8MIL7R6p3pOCp7vcwJJkaSZ1iCkbry2Sbpc
pUa/Uue8koeDjNX44TpcslecOWPZ+uWmrrK7c5v0ql274a8F3ZLWqNQVhRpN73V69IWLLR8iAYwM
KJnZ6YriU82CpXR1Z7vrsnmlUEQV1xAViUgcOWT6RFfXwj0wou4f4K4oNuqwWZA8ECt2ACrordjJ
GuSeBcOHlJerYpaKuQaPjdXyuVHtWY5Bw6ufantdCOsZVcVg3bGoqshdRR+f2MxE99st43MTf1TG
e4zkn+Qgcd34FxjmlgxzShY2KlE8Vv7WPQVCxQiKQrHYzx5m52tZFybeA7kHt0FBKGgIw1EkSOVx
WFxgWsJz2AgCFDCTSXHKYEf/fEQVCAG/QEiFRhFvqkfY2qM232cH9SBOpJlPDpE/NmQMtl4otu/P
xbkBRYr1UyR1FvMlMuZvpYkYH1dl5zBgiPxKs4ZNFnlwDNuHaCxGN+lO9WNZgeIwG2BcxMaF/Uti
HFWz2ktM+EyRYTDuxMt6NrfbUzB6sUB+7soT/JcXdzcaI5h74umggWXrWenUsHbzZ2l6OnO3Utcy
bOGHRc9K4034cl+h6/MuqQdc4dK8xzF3/akdvKx2cMKH1jC+LTD5XekdeVvyHKfzkSVewXT5109o
DFf1qA4rqTk+o+Q0NCrLBklbcXqgCWZlZeGQwwQqwETRNKlEFUO+ueWBGpFJ4uVT+4jL1/pQb6h2
b4GkGQTp1g4N/cnh3wXDpgy5mRl2ObW1rjPvrlja+iwsF+AYbiZOjRml04hDIii6ZUEEKk3etzFk
L/OyGGqFXwI75mnn2BP7Wuk1pV+XfsSaPLdv/fTR5i7Ku37hSKPLZ9BT1QQuPng5Z1iMUrkpUSxR
tmFUHYzbKZaM9njd3I5pSdeuCQkE4mSfGBfW2AC+MYOvZHc4JEEzcJf4vWb1XwhP+x+WxTNJ2xDP
4TugzEE+9tfVldXxlvjjXB5Hw+8//7OywrMnosqbM2nXFEqbn30rfiGefYQ7mPf+wAIi/ZronRnZ
3FRetJN+qaxU2lkLJH6qSKX0t6wQxPb8qbL6ofOhjuP/KIqmyuuXyqq+pKP8UPrWO9XGSatNbHNE
6wDM4yT88brCGZYb9zgU4LCm3ukkGB8TCRJTcKB9F/r+hodOeG2UtyQiQQuj9svlclTME2ig23Oe
vKbJbh4IU9/ordjKbBbTfw/rum99ADvdEL9ciXUQNqPydH8c6jU9KXZMFcQk3j4gQ9CDIO4Q+qMg
3H2bE5WzVgr79vQgcYTvxV4LTgirOGwOh5IBGuL2cr7u+RL4romt3nsCapjxBYYW5QJdqfmrkvvD
WaTlkcApugNbZQLJ7Zo5zbofrCgotnfOv6otYI3d82lFMGEH+HjapNePp3JP7ww60tNAMhGWeB6t
dHIdAutRjlXixsDs1Oes9WLJU2UWYesSf9B/iukc7bkr3e2MFE9cwbdPBw6kOgwwemwkLjclLCN+
W3YpKDsTc5rfFAcoNlir9kCCLATIL9f9vDZL9NF08+oFzakE1iZO3cZiDF+b14FsRwfhdRIRRG6l
mUWrhbS4xV7AAjlbV6HiI8X20ce7WWlJJxA/eFj6NwKU+UAfaJYTED49qYnTtESlgCI0Pl31jvjX
jA7CCok2/reOxhVUvKmHJEOUg7AH0/mZhHAvR+ZNwpv8dntZrBsoASY3QhotWJGIJASDmS+/6BKO
zKip3bFlGI3gtvDzt53kLAjTJim6X0p7bp7RooK31Ia4tN6XIsa0bAOrAblBAIDCv97u5oNaqUtv
O1XJgp5nQuKwiiO6V8+tSsfo4VSaYtzLxH1byIzW9u88ldKWjA6SSKf99fmWjr4uYSxNTXII6xdt
z7DE742d/TZnl11YMiu4qfvAagBDaubC78Leu6wYQoRT35+E4ctKJdwDpf+HjvbtbtPTMPWeo8eE
UQFtvCpWNZbOW+8PlDdzpPVe9aUG2V7OnyqQyi9pbtLhQcWcK15qJRjcI4uWTmj14Flih5cwYrJD
Rh29F3yq5JUAtSjZ1dxA9GdotmPUaIjIUkd4Y1/tF085Ke23ZW/n7ADGD28GzZ5tuunvzvQhmQWN
t8j6FqzCLY79x6T8JuxN8NmoL6SjC0jNjfq531ltvs2Cbj6Z7+Ep5G6kB/evynx86RxkAO6gK+mM
i0oTJKBHt57b9C+Qe5VRKAKWepG2YHD8H8vt//0c/u1n2COpmvz715DNX//53zvCGInV7xz7aZFF
Z0VuJudlnePrX+8uP6x2+/f8P72KXzYYJiJzRVUAwPwwu/3cYFQJ8AuQYY7oOkv/T1P4JBbFTofw
VCIrlO3ul/2FGQu6L5nhNCPvvzXsnv0wfZeXMS6Lf7Qcfr3rUyPgt/1lQR+10/VbCykDYsy4v72q
hFGSyvmZ0nYf7ak3Rbfq+n0nk9NSUHdZ9be6SZ913Z/bGmIJyWqp+uy7k4+bzE/zAEz2w+fiVubf
LJ0qU4EbTEDNsom2suKMwaSlGU7yJN4k7MGZr+gWWlcj81mzDP1w7w+l+jqH2CISwo6+8tBJwSvA
pTEokSF1Rvo8P+m5I2ce1/RafnP7uF7tYjF4uDsSnHUJ55X1A7iL+yJ95n680nUTKO1I0eV40XL6
MJRd9RGdRZr+60Qy27ClDS/psNUg65n6fmC2ylcTZZNyhPO+dGaXHAm4RHwEH8tXruYceOf+7iUE
KlpfIycqZqAkRFUv+zsJTAreQzNRpyb1InEKZqd3gzX2Fkq0sP0Z/Vs0tO3mogWVTOOQVm8c4B7k
4n1vxl/RuWUOcS2d/R2HfbsWQP/yjUpEbzfNDlTGnFI49+cVp2Y7zUKuS98XhU9H/PYRHwVTm3ED
aGC0ZH4+z9qtXHAVmAL5zG9251sczWQ7z9ZcMF1xx39cldd60ZM2Xcsck5+yrQLpWFo6RvgV2jU1
8YeHm4xmOMLKLy3xqSSSwGi2t/6jOa+7pxvzlodzHywSQAfOYsnKrhu/lIG9jjfLjj4leZfgW9tg
kCqYUGibSrfQWxVzWkTFaNKoZ07OtLygIXxf5hFe8md5fq7UN+H78V7tSYe6GUQ5kREVzAR/5p+t
Xe9pNE2A3W8R50fJhtgmNnQ6vCit9ClYs/YkP/tXaFHOqCJVGY0rSIn/dJkL36v0j+scLcrfr+Pn
OqexMEHr1EQV2RCymZ/rnEbIEasffVGWOoazPxe6adVVqZb5jOf4t3WOpqVG0S4RP6nIf2udg9L1
T1uUv9zwPyx0N11prhrjCW+0hc3gaG5Fn9wcIsxZrDGZP+Ir3XV2+1pcIGKahX8V7LY0IGjVNqfI
xbRAqjTh4BdVb9JTGdwONAU/ardTDNg3XxjRUL2HLWxskOzjs6I60++R3dtrxMDGKXzaSwtQ50b0
oFRnHuBH38V5c50o6yuJSB7Qg+htDPwo8Nfxdi2w2E9V6QLx0RyG3quT17yFjNWAwDHIwFwxI22g
7syxmhqyG7adFyMCfBj9LsGyaozBqvu+PIlXQjsgv3/T5mqeU/1VDkCT970Fwkt9Os9NZY8Mo5XC
mri3WxjzvjeVE+fngjGtxwihfZWpCOXggf5xOLbLKKC4p6eVet17jplnOdrJOWE2s833NxDkzRoX
M6PGt/GtpELVKzzSvX3Xd3jFGD8xqaCFlVk/lqHK5mzifKT3VTo7RKxAiIXASrThfqjs9Gue2UXp
PfAjowo2jT1KFBzTeVjrDoymfg3GPEGdpXv3g3QLKP4c5FjwyFUPO+Rk6kxeabnBnTK1d/4z518R
xs3P3Bv8SXUMPh5ZbHj5/MB0LdJEojV7h/ku2w//8nm1y4UN0MnZIFKexM4ZHb16N/NKUgfNVj0u
QGWD4hmIueAV0H8l08Qc3cB1NybfGZwMAxBnVtAGWwHfdseWyc/cvbyLuPyUxkkZv9GkQqyDm5Ih
3PzmjXOXDpcIjx4g4tysp5+L/ZY2QBo8PU2GaKcjhzSAITq1ublJmzYkNxku2rHYdEduSHNCELZA
DwxKnNKOypUWxMXyn+iucjJBHLZw5NHlcwe2IXfhlfAhUhdmGG79tvT10qtjv+QDOyG9j9LPYz9P
PP8BgZFXJf1tmvHL+/IBhYPeCTmLTNIjmGSrL33dK1Yx8zREXHRcAJpW4WMdeZoVLeGdLJzKxs/B
Y15wJNncDkn5qn/ML581xWrA3PTm9iBGTzUVqm743GE5BMbCIymWZsmX2w1QL57ci7GVm6M2rAr1
eKFhfQZYxsFLFSwa7TPjmQqEflMEkGp8M9zPTV473QAo/Qko17V5v2rWNeWKJlG7/sKtbAhy4V0S
WbW6Rv0t0+rq8me6mEpJobHONTihNhzth7EPCXNEV+7n/Qq/ysPb0NiFJ31Zo22YyCVI5I32SbJ4
TQ0vUGGaFZMAGuu0sx/LtDtFo9vRppuFRh4R0l1rVlkEkHZazrqGSmuv/OQM19f+wOKD9Q3B2+N9
mwsn9+Ei8UBSLnwtTgyuaRk/dm/lFP+yyZAoMkJX6TCW3vAwpXgnO494R1t0eKbh2JPHiP3/3N8N
ImpHi15cgsNX25DmEL3SoRQbcOqFLUir7BrogupUwvoxvxsNY1uIpJxHH6aa+5zC4jc6p9k7fpeH
rdK8rPbotq4ot4eNEGrHmYG8ixGBUb+Qh/3WeWf5apSReb/z7KLT32EZ7QKtpdmnGlOgcIqB5/AY
nEz30+9KsuYDJ/6H9Ex6L2151fCujk5MtubfTlc4V9OfYaUyCEAIzDwY2fbFxsvi3GOzCKQfQ2/w
Ne6D15HF8w+XrOdP4h3lKWsnqTBhO+hcgPTRkpPJP3i4M5LXQKQFFE6u4lFALuzmEL1c7IvdbBBy
c/GBzI3WTGf8TlCDu5t5pCpG2M30FxoEtPab5QUI2sz4WdqkAgUm0w5hmQDhsaMPLdTaA1hU8+ZG
MrPvx1dHm5GEKWPSOYvMpEneBuQss0xuuX5XLIzgFsCAhhFr2hCCnhAYrgPzhurmaWbrqbk+io2l
f8l3pkjrm3Q1juPdrXA1v9tmQqgVJGh87GBZiZQzbnspRcU4ObsVDvH7seSTYGuq37o8wZM8I0AI
kl2fi+C2q4ASrWO4s+7sHZVjv+FR7WlM83wci2C44F51tbA9tXRnGRJRuttFUDrDMbN5HmpCjDju
ftJjnh5AgPqPS8jT11I2gtW3il1MW0W92uKVISEo+5xFQegF8v/M1thCWTppS2Lqb/ZnX+PBX2O8
bJoAC0SEzcKeHBGK8SJuhNHvh/Vc82dw8cZtChwBBJUHcakIe8Wep8do082epXZJrnNQugTxmSOa
GEIyS6MnEZCXex+BqfscE3rU6HNoM9HCKsG0srAPuV2wT7bPtQ4ZIrDxxG91lyau8cZkQrw4NkWm
1xvCJbYWTGi6MDvKkZl9TbpcltwUZkYW9qhSshWBoWg0kU0ydBD0xJn1BllElKZWZ4TI5z9Rkhno
CRBT7OJnudg+dPI6GgkxTLokpzOZne+f2ny9SE8aX6zzgKMTonrQnsgRJBZKJO+8n+i8j2bMEWfT
8KrkDIbknxfnLLYLxc4frMrv4TDfjEHbh30AgsB4xLYEqYPcLFNxp5dxjRgKqQzRHcsUChCbzPP0
JaBDK8n4QA138+LnMeC7OvxvSg+7hcdxsf7jOEcdhVSfAwwyrnlxrqxwymtUt8qe6MGFdU6+suOC
sDR/3OvLhKdrvRDDxxtiUT85SrAOoe6uFkQlHmmBRDOPtYpD22U1vWLKhsRfLCA6nnJ78SQiBwVT
ARPKxSGvnOa8ITEWJKvyI6mNmbAfEGKVCLK87GuxFQSjf2EleKo5ha2hmzOA4cmTnSlnw5c/rwqJ
X0RLTLFSy8XgeuIAOWmiEM0kLoY87FpRISonRgZCxTIyIZKW0/cudw4WiYtp4F/AQ4cvlj4KSX00
NES64n/dRnl+P/8z9i4u8d+v4ZfTBdA6WdeA1/1oe/xyuuAwg5iBHj4WOvE3czt2O4WcQZxteO4l
av5f2ih4G8h1XcxFXZLRRvwNfSkC2j+16eElkd4kaxCVELPSsPm1Td/NM3Em1ERwZz4MOl/Qff1W
hMX8qJPVEi5s8qsNqiYf/MJUhT4nxOzENtFKdrSc4Dvk9UhGGWB6wx+3vdNWPcxC9aNXrbKzajTx
c1a+KzaDSc9ZH+tj8yXh+urdKSrI22AB/ZrG/aB44hPcn4CDAlQMGhTWCxA7GxyJClucMGnsWUzl
u7VKuP1ZaO2ocWaKLX3ebtT5rAzMpx3WjRkSOJEjNPKsJXHiV2/OtACHqkSJPPiVL72mc/P6nG1J
JzzmJwb2E9UHdNBhJtnFRA+19D3lYjD45br/RgSC571GN2BUnYcaYDA3Eo49vHrxSWuOEUncdOjP
FIVM8bEPKrd3ofKw+mGAUHtchvVlEs5qg8eMmotwxwcbmG2/T7NgOLdnsgSBoi/MtjKqe3i5bnoX
ughOA7o5BOhQLRkIBnBDT0hXogexY8zWPCKL98vLPXF6GsLqrs128FZjwckyr60ObTgpDjmmmMDx
lS/MiguZE5pbMCJ/OLfETV4lyZ6faZ34pK5aM7phVHKYJTMbYh30mEYwuEIdeKzAvFi0sD70aDTx
KFBVUyb7sk9G+qRN1awi5SuejMQTWXINd7/rVkl9ULa0Z57uNJ/kt5YwoA8JReGMunCOLtLN709X
Jj9kIra4HV35jf3Nsl+EftkXy2G0uCW4SHrVvGm7vvO3ynkszEKyF2Q7HhmBcMtlNDlkAnTacsh2
C7tuLWlfhfOn+P4ULXkObCnBcYhCw+NHxxQIToN04m5ElIXIPb6g7nU+2UvcuIUISSqK2Ga3OD7q
SrCMruSMCutceGcooae7SgQzXxifhQfSyp5MIi5If4R66Svyx0gDIW3mbHUAtjyCmyiDqNm03qlw
uDA7pRpzJm3ntOLyU7P14klDlcFJCRb94kxH+/qBoQITwpn8GwITm3Cn9kaDQ4DnmgM/O6QWdB4r
fIW0ceHP1ZN5OVKRxECHQjLn7/aFyXh+2T2S81wnSoGj2qYRqVQv7mKrbwvE3bH1fTF7kPz8Lbbe
uX4Mi3g0zMW2a8zMnV0+hiy8HHOvQYho1eCySrP7iPb8oHfcLbZcxYb8YDBjbK1sZshjjIXP1b/R
yCotftM0syDYyaR2+uC3784cLR97hWfOZ8xAlCFD6i6Egd0aXsyO6/ZG9tV7JSClkGm9MvPQpOc7
6l6GLNlG0O3px64gIIFrf/TJ21V1r4r/oGs4Ltn1sIcP5VKr7OnvvbkTmUx4tchAg/vkjUt0qj53
hrtowHji9i223zri25WOSnOqrxmjmLVfmOWd8xJ2c35zad6FfSd+ICDIGMe02XNPAPKnFHuXo5qt
qZXcUdlQiXgipeVkNeW9TSnI9cmFv7DYn+F3gKChODe4B9NtpMdHr5b6iUfI9fgW90OhQOFR4zGs
iDLvWDbWuwU8/szqqRycm74wGgrUWbbOcGWC7mXiteHGZ/hdrXRuROtoz+BGNR+ClzGdUV0IAjsy
IrNTYh807vWuOJE5bHaVhROSx9MZzTtgnMpBa/U1LHMnMRrekc1U0HP56yYWrPJQDcb1gNLVpgMx
N35slv+bRywM4EWgg9jYyVOnPffXtcGPEcs2ubz/0yn+b1fyszyYaB2QB4lTxx9Ia/Nn85GpOt4T
Rvt0IdXfygPG8xKxPXNAiBMY57fyYKoZcLoQUwxr5G9N8WdTofEH+s0kP/jHDYce8nt5MBT6LMZb
13p3/AzMwpWgeY4uh8XiByXw2nqLeoUy8X1ebSvAVuK6qDa4JYr0/dIFt2pDcmL/ziR+ilkf7dbP
06t1ja6w2c/lntyeoiJTZ3j4wmvrp1UVohKIk911TVL5kwqigiHKPXWlO0ox1VE71Yirr7wnCEAG
Csq7uLoE16zdCQOj4rw3tWBhbFqRnEd6F34yq82YdJ3ZINsxnjfsfdKSVPYPUcLbiK3A6ElClM73
yMnvpwQdIQx5pGtXmmdsecR105PSFe+em0oS3EtfekFmWd3czGq+ahdYYGbBC8RWZEiUE1bN+/LC
JFvjZHzbKa8cyx7flWDXYPKSR6Dk2PllqKw3M03IzqufVfkpy1/mzWi+XAfGpJfYsRXah7Mi2TYP
hIGbB2MFWXclUtAEHUKdejVnTEQf2wh/5/VraFCf0z0dP0dkj0P3nvrI3AmwGW031705sjqtV1Yy
BZGfctJHQN6uIYJw2EZzVJFZwhdMTATIxWVU4giOTmW0ba3284aBLRAwJevLG/p1jgsEnSSy8y0Q
TGwpQaa+VD0zZQTZFqr23EZXlVbWgJ5+NRopi2rVbQRrZDHWVskYfHtZbzOO5mJ8iAKRKYqYc1X8
dfE2Iuv6/kY6v2VZS/It4+rRq+b2NyqLqrMEP0FJyOh6RYjBXTlklfMdO0kw/U6H74vZ5tKvkP0f
hLcR0xwzaOZXBE4Z44tgXdWNsK3IRh54uC1I8NzeryFfJ6crVFdvGIOqX6XOndQ+qK6knDSMqlGR
nsZ/J+/MthTHsmz7K/UDjKEe6VV9R48BxgvDsEYSAgFqUPP1NeVRdT0iI6tq5GvecA93c2tAgNDZ
Z++15vLzBTrxfAOIvXxjyr65US41c5ROd4q0nNLSTMPMVYWHKd7OXe8R81LkjkRAIXB/jr1g+J7/
+5OP2N6MVyvicRkn/99XUAgl3/84vQEI+9fb+H0BVSSCcXHuEWLGRObPF1AMeP+17foDK/Z7esOA
mvE1OihJhFLLVff3/kpDpoWzT5QlNkbyvzS+4SD+fgH984FzPf7L/irF/n03cqHyr1LMJiR5vSWD
//rMzeznngWGPyPo6GqY+hHZeFu6DHyfP8kHnRPVYHCSA/SpwxJtepDM61wPnlOG1lH7o37eqCUl
U+7n/X15TVI/58K6O6kHkUuzcw0MEXo5A5hLjDONcZAESDG1Dpdu36fWrV5fgTUUwSMuYhmCobbi
gn1/z22RBj5yn5XNV56zND+Wd1MXQ9LeLW1W2xXSKodUkN1k07nND9r229i9MYtY7y1jMQGZtOLO
MGbbmpemdhFfg+GTR8NRFfEJVra4uu9GAFJN3iRi2E+CaBEcSbv8uinj8XCuNGJeNgqTfpxtWWzu
WHiYrpuKd2jIsa7tQ4RGnougqXkH3uJWdOhh1ba7B6SIMdaIf/JQhdZWP3X0AAywoGvW62R+Da6B
5uleQWIWgdh2uh0+o8lji8yf746IfEjmdK6NDV4Zj4PkLhLoLaMfbUHILcEdg1t/jWpuwJZH1VcR
ONOzB3u2mZzvIRGmt6NxnvqN1x5rwU4PMslZTFz0pYYAdKG/sLjPMiLbyb4sdolhN/PXtouziEzc
1Ws5BMzn0HbKJzfpg9dGg08iYpa/fD6eIBOXz5aeDpMvf2zVo9K+LYwpre1Yxg3jpffZmYmPjma9
ZSmrVu3AMY6jPejqHFEX9Mf2SDDIW47BynYRdts1W823ugxRdcs2+mm+EHfBhcPuRWM2rR7jBuUx
tYyGpahGVa18S5PRWPfS50Wj2HcDFxU6+l40hcXzGWRWHaq4BsF5YtY/+fIAAteCyGK8tSh57AJX
wPwMPpKZFGBh/+p2ehgkV2dyZtBFzxtlUL66uoitDfaumcdgf2hcpdkeIX7xjraBCuM1nwvvsNIT
VPhRWiAuH1ujlXNpSmfKGB5Qz1X4Tg+XJ/IG6xny8lGBU3XXprwuzt81SjKsjEjGLmax//5OkBQs
a1odn1nHfhYOwJc27k0V8rAmTP2CbIZxNS4jdeqy9KW8dfk2KAdfBhD5xCv2J+Jq6PwpnkZ+jX1h
sopQ0DIGc4kkLSMWO2ZLYUvEltncBZI29tijYm38MK2X5dRkK+6twYwLAfv5h39nD3I+xdIyPUtf
U+cFJr+mj0f4DtXDksWGn62fKBAa1BN2K5tF1BvrjsHAixSfC2k+J9csGN70E+/Ku2eWT0wYItCH
WD75K0GI14bDA+5uZcp3p5MWtArYRkhBRo5QQZ7QK91K22VBCEc37+ANy1xUYIoKK0GMT34D35UR
xs1Z8uWeDZv8WVVoMLE94lrw7g8f6Al/blpSjl6spXdSj6btbPyicg+G3GO/oTym3k3z6hlt9Oz7
IXBKKCaEVQTIGWObm/LW0HapM4woaBQJOnAhcmap0z1RBLKYm4/ufQL1CHro25S5IPRnzc/VQKus
BgnJaatKLjud1KnfqHWQR8/qN2V/Guw6S4IefccIoeF1KDWrVDdyvmx7ZJ/i4fpa3Eh33JTl20Oh
HADEKj3zQFL8n1Gsd5lVEZvcwkOjpkRXZzzWCpsJKd5UiBrXAzQu4aigQ27HnHKUflMKr7m45hGz
GqasC6AT1CZ6jYFmvWHUw+CNbZhyTgbCJe6W+ojvalB6BNUo5KDcNzwMmhPV5L29rXDRYgRkw+w/
uKBwTVBQ+zBOuh554urc5pm/hvIzzrplnQan1gXmoyIxTZk+cTFKjtmwqzZFyQTcG8i+Y/ZQHvXz
r+foqS3UC28aHtKg7ccKMccdmc6n5Df121Pq3QD0PN2TboaYGqf2M9Ln9xrQm6lmUaLjUnyeuxcp
hOm3djN7/3IUzFY3686cwiuWouGb4Bzf3v3bbykpLzT+ExR0J+L/qtqzUliQ2/SfANvGH/3Ljfyp
IvqT+ns01v1pSykDhwE1Q8f3F+rgTxURnxzV4io5saL0F0ELibLsfHW2wH/0qf+FjrPIDf6TkuhP
R/6PmJpTrmtJctMrkAY3YYHo1/zpIR//3M38g40lIS9YmBBioTsWXVbrQPfGVXtwZzp/1fHg4yzz
797gM3Lly4JlCc3VDIAc8q1//MD4I4BF+KHxz98fc43+r1///ZHC94xlgeb9/szfv2f8TEPkfGnP
RqneH78kEujHX6OVf/z7j3+T2cZsafzMH3+Xtg0J7unfBw/X2uJgDwv8r2lMQpsHk8qANw674BV9
XSz7i5XYxKMbjztfSivJejVkg0byhsF9azeaPWxmO9t1XY3tFTl2jO3b4xnw3Q3ZGWGRR5xiynek
G0+vau5krzpyFktZEGHaZY6Pe679hhSnsUfhKkpzHlmFWqBkuAr2dI8EEvssbe5xuy7yCjBXDHVP
dOtYpvKSzHRwlTsmPAMt0KKHW0BzvHWOtLfifJ10duscqms4+TxVbJ+yj/ET468mncn9vkudkoip
j57EN4KmveF6HBJAQ3cIXT0ZJq5crpCzkzEwpWqjyvwh8IADGSl+xMQF6EbUs3rOqBfoqu1LorY0
CwTFaSRzlropdPTKW+fuqPaX8UWGFESyjpIBVjZTLhtV+1wPiQ7Of/Ej0vfZrLMrcBPI133QMOps
SgWnt+BefGnin/AIIS9XZ8/L50T6kHWmyoQBSBdv+nCgm83v9Olw6Sd02/A6P81A3nMQ/beXZz5Q
GUqwIRiLx8c7OKE1DwR0GL18cyEz3SgcSAw05U94phzdm3xWWETx64k20iDZpNwpljLn7sCEkmsr
Ocr4rc3mghMCvJM1meez8c+gmTrF/kU5ETGi18EPMZOxSR24o6C204XOJAVA8VsxtjJWavTYGGeq
07f2TY4gjDMrtcd8AwIVQBRR4BV2vazMelPNGo9ThPfmBPnPzdlOo0U7678Zfec2tChek9EeilkT
gZL01s8ei1t4Iz/h5mBQlKwzitIFHtLzY0GX5BaSt0hLMSS7jqEPIyNAIosRRVXgq1R9Y/9gjmTs
byGVrbdc8tx504nFOFp2rsTFLYaLWy6SbIOECVnJt+wvNbKK0FX9UktNLMlaprsRzvdwdHARcAOq
uJm4AzpbDLMmcHVGoN4tTned4hY/CrX9cfohf3hoYi80Vb8ZKBTr72/QCYy7KpHQHSyL6zWK2G99
i+XEri7zRgSL7maz6znzHkTMUaF6SKHIOar363VDhO6UsYI8P4qKRagcaWr94JTDaHghOSpWwtGi
SaNYGJi0cVFQcD2siiBZ6yEnohISkU2c7BiUzU/c3GoN7STzZURrUGt77Az1KitC/eO1lx6UoGQJ
Uf9mXtN5As3ksYccPSIkuKiBZyfEa2bLZoh/4tWYCapFcdpAzWdT4xVImQJmXYaDTcUca17LSCwD
j0V4cxGKTBoAfcAkmNdvqs0b/WbzvhjVKzrswCouSlf0MvR8fPyyFNwZ0mK/3Kf35WVHj4oG1EQg
sflNYwIXNC5qEr7/4RALBRxr5CaWjunJ38i2K+91fKzoLs3SqdXqIR0bLi4agDsHs1+zeEN3x/PK
7AC91oUT9Vtd63Yx4kPgm0ywZ6Jr1pbfyVvyJo+qO7wqwcQr1ngXU1wxW+0gML0LHvPBCXEsdo4I
SrbwWmGeDHvx/tNIVKcIebvwcS7ZAuD49MhPQPaMOHpUGivv2ZtAzm2Kg/nl5AzLFwPz9S2BkxOH
s0cPkjdE17hRUCb7aKQRImczg2xOi3PkIkLwUufZ7BSTeX1Bn7hVsghhMq/b97NjnEZxj8g5TBPX
+EFUh+2SP3VIGnKoCHOlCbGRD05DVAsbK80k6qBtOfVOW+YoGrt6V5xG98HFFyoS7IGOSrYGctDQ
GNpImME0fDn4W9CBE51pP5eFCZjCHtqZFF3CS4c7L99c2NDY9wWTP+DGVOgFJIuxoYejTxetTf1d
PdB5mX2U2eWMDzZSJEXKnhmBjg9q5tMD6/JIH30lDA1WDy91BrZofrZ5zG7UongKMQWmYYvJNrrS
XcN9mJceQZXYk93ELt5obrLzY6PljqBhYg/4tnFOMiqgbD8N2ceM+cnUCO5lhacEXwoepF/2lYyW
HUOcCAYlfhjoEch0FNyLdBEbhlfHfOODAuFAxjgFxk38npAx6453RhgVNbV/mnOT9Ax7X/K7WUm9
/7BWPwxu9DmJy/MTQ6PH7LmRP94gd5TfUoSOArVKzNPHg+IwhfP1LeojHpl+hoIS0dr10hUG+Ykp
L5GGMIzqz/1eiiixM+RrIJT7UemRLNIQ9iqnPAZXdgSWtAdTUbDPcx9e6zMii1ZVZNDwUTzUMfef
+w34Y+7iXs5MhQxRZs5x9dXj+D25DZdOGRYUtT/BDP4LRdNNsngn83ZiHFkr4UCWEJ3nsWzvlixm
+Jz6QHMgGgB1AaBRKQeR553HTwLFxbQUX/MVXz9Derq5ZY5dVjvzl+QPTy4HxZEdHCeJ5DNUwtJQ
zCbXOTNkGq+nM8wYc/PiuWyIaUemRd4Jks4gr6039q7x6DqWeBhEYwapb4SSW1tdegBp033cK+gg
nK4Xht6pL9mCLTuCEl/XLUGZgWDflhoP3sW0atOEXVaBEY7/j9ibKuhj5n03Qh94B/CDhFOOf//x
SyHTW0TF1HP3//1rcP760fh1AUDe4EDo+/VdKai7kzNaj6ZkcBObMbLt+Pu//mcQ+MfnaY97Y3JZ
3nhF593PT33bUUmMo9sTbLgRUKcQpmlyWiRu1Q8kdau2jnZqlWBeZwaa3l1xCVF14KR5r8pNctf+
PxD9I3unt6uNbiKVzun/PHjbfGT/Mfv4J5L/f7iF31skCG3/T5MzztZ+b5Fw6iLcJzyC+51iBvi9
RTJgvhE7BvJtpOdzQL+bxvpUIfELsjU/KEj/0tQNb/DfdkioiX4/dG3cQf3JO3tFqVMYJwkqid1t
q/UFlDq6Yh3fXzavsNLuanXd9+ZwH39PFmMBLQT8ptqtD9X0QNLX1azhljGT0i2U9o/kQ/Nap3dU
V9o163N7RA9uPceq+QoA+ek8Ns2KYvp96k5dUvMghCmrC1j3sMVl+qWTHeHe1tWHkvukWkPVQZGX
Wix/RSTi6aVzYwbIIr6llhXx9A7cmOjWlTgii6enQI6hxEHejIY4918LOtNSudQ1ynezPF3M7oWy
SIQegTQfcUvMpyXdnroUUWJMMdWM5lq7vTtNSSiwjW+45mqOJue7YQUJczYNS3aE5+vDfiIdRuRu
y3taIzqoH1d6LZCvwO1P9bDod6MGnZVt85LfjMxFmv144KKNkWnXrXsqziqgzJHQzXHS6NyN1TDR
YYR07SXWSej+XAoKv7weVBIe4fGvglHLdJM9Dl5K3OvUk+Pb+tg6Wu4PpQ0cqcdWdqEGVZw78k/2
TGxqEKPLFOjxiTglgG5rcm0QJ1R5cFmeJBLfTj/tWv/OAZF00For0Bqbelm4weQ8pBFP3INr9/rx
wq2b0Ms2WGML8wQPO1zcgXnO8xu0CVeZ2j06LYKB1a0gzZ7r02T+JKFkVDLRFiZSU6At408jpQk8
LX6xOJAKfWmPLFgap0U4kV2mipb6YqFTMF3sWu2tf0qeYXC88kE/uZMaqCCrzOlQRHQv03z2bMPH
WHnOOnlmfKQXy+PrtEBJPhYpZzBI3A58ps08dSBMu9nWRlSDcr04w9S90iLiwofA26xZzAvk1hNP
aPzr+DQuckzWsPTSlPbYpoJ2uKchSnDqE2rhyXoiNUPCbJrblNhQ8DFBYd/80zV4tJ64fS1ZTgRH
tGUCuhGWf92I1wL1DpeU9rAU4NczXOiyWyLkGEDvSCcV6wwACdtAFE4gTi3zgSgJTfMDVPWEuCUo
3idfRNOW5O7YvraQ7xuR9ly/7jNIKedqVW8gwYQKTfQntmwE2f1MQPuduwH6LwYHOYjSyvuDMeOm
yPbvDummmN3okJ+ZKbNNUs8uJBjGDqf3JvOK6PSlL1M3G4vdgeBP0eEV5LHb8rfYBU+hGvXMziN8
XT0syrxbNJZkTDR4OTqnWKExhxA4ezzXV+ehbZ7dMryM0reppTCtufMSvWm+1LrIT5G1bC5XL/ts
hh1cLXkIaRX6lswWmBxU9ggN8rcHyWfULwyTX7J72uv70bibv/PjN1jcvX9DxM12DIE1KLhLpFof
pNP7H8NHtZ14+dfrQ73ZpAEDylgOTr4soBqRW6+lGKOJf1LDRphPBs2uJESBkq2OZzPaqIrY6rDD
fvKgZ3zMvl4V2bS8LOR5hdV16oriLLkq5gl1fhtrKSxYFGjs06tVvhSbMzd/OuBtBqHCgP/mYjlQ
GAbtmCtc95gM8COcEk+9hiKhjAU+g9e3xEyAUteSMDBqAGD9vo9vdGdhg/fhiR7pJlkkwFpLpuk4
rO0KYGxGEtUgzjTDm9cfSR9JbhVgLZyEGndhMneGG6t6UzoMxq6/HqqovrtDy2TAvuerk0BdSiyx
sFZmadCGEMLFrwLft8SIzUE5fNvnSKUSU19fjpc37fVVskHhXVLaFwOr/r7ylbX8/ug88f0ZNSKC
7xHEe3o4eNjpL+Ud0jQ6ZYJTBiptHoZrKNbW3Kq5u5tHyamZB7EJMo+M/eTDHeYObZabo0B1vAuz
Z0+H29Jnp6unz+oRHPgE1Q5Kz2nCrIT/YixQeQ+LYQEfKNt/nQBdEqEH9M+TQfZySAwZSrs+lPgn
5AWuyjYCUrTCqmbi3kIUdYlfB27GZ8PqkoprNkwvZ9PygFy7HGd7Kt8hHSduBcxzVLOh2MoVNFxf
tMC0FaKISXxBDIdrlEG9hWXluxcZoFwYEPAaol+7QoMg1T1kc0J1/YQkBFrvMkue6C2jaSwcEx5z
pCpnzWlD9O1lW5p0w2jGJL7gGNoHl2CFEElGDlYXpNYruK+z9f0j8ZXd1Ah4RpPFVXIffZhAYQDL
+kD5J5uaIy4jwgw+0WR4yqwxvxj3sLE+5e9A6y9uw9SQaxcheKFsxJLPhmNWssPOIT2tWjMp96c1
BGV9/VLs+uVQLOYiHl/LeEAWfnVex/AVnP79gYzT4fKCSkzcooaXRfvSRawVL/pvyk+zk90nRIqf
esmCkfnI7S2+G0iqObyfrNUkoCxFCWznOGGuNJI4hLcMnZs3cRs1SgNtVoUvdhJxGvNCrNTF6SjQ
KIS2OgdiuqYrmM1Lu109I6pcJ7/OugsaDUtfYxmjGuY5zstNfY9lNiKEv5v5ukG5yUOI1U8hhL7f
mj9TbcneEYIjZL8gWRj2BaGkDaxAJRUGyaJOn+9hywvFy3dT0cZC0IT1Z41jwDBvUb7P9iQ+mOKm
X9/kIyhDzVfpBHymHskRfrXIDs1Go6E7eCfeStH1WL6xK03Qb4JhRJVSWbVmsa6m6Tcw3SMWGvm7
2twX9SwNeUnQtcj/9roOqlTYACPZ/pdF9n8r0HFUZv8Rpe0/BzP/9Vb+VKQD56MMNxRF/gdlh4ra
A32GyBH8ozSO0nmUzY3EfYy7fy7SqdENaaQz6zJDjn9J2aGp/8yXK2NHFnH/js5iNCR/LtLBcb0u
oqiinAftd8U4O/xyqzK6sDPKgsm8h8PiwzhGunqd45O9pp4rTZyEUeIlmBHXS1F15503enaTdWfP
yjgzGkc9TGn4Yhlkc93Yg/L4vLW+gazUKMzLxwti6J1eWSw94vLhv67bmpaoc1sXG3k/PY9WSnWP
+G2XoSdI3e2TvutR6Lbq8FlhJAKJP6NPTrHLtP8GbOOFLlaGilPYz7C9+UzO4c7RvafFTgnddxaH
UXUg0cCijWrdlIQbCVLnhis6W4HcSj+FLHzod0vjZol3mZZcYR9muZzQ2cJ/6dZgVCh7NOTrys6g
vz+SAhHBU+t0X90XEeTt+iXRRS7s/g2TMWRAAmx8aPfkuZh0qaeihSpgU6WhKr9pdChasnLeiyai
wG/fhMY2kOg9bGYa4tOZDHbzWjDVuK9erUv5OsURlS4f72pcvJPxNQesTCt+CugO48y5n5WbE5EI
4/wVsd/96jxD1SfWfd8c2b4gt+i0gA/0b6nDkltiUgRg6EsO5XO7RlKxvt0ivvjGSvBaYMsMX5vL
J1kH3Isx5h7kuGFnKhXSUksW8Pe+5PgCOMxh2uEXdLVbr5+3HnYDXsWOl4dG+pExUbmR/WOyqiyE
5osXm6uwM5cZzVZMc4JXC9uk9jK6d0CrV6bGPqt2ta2H5AAID2IFUlU/ldKhBme8M3vaGa3v9uAQ
gpvOWyZL23sgh70ruAws3DgPGvqyyoLboWsbX4uvV6h1LjBEmvzgqhc39DYgcnZ5XLk1IGgIy943
YaT4QEhh9tU5/0joZk4+EH3MaAHho6AbXzuNLXI3xS52CATWN5DjbKjb5DdYz3dsm+KotTenO8rq
T+/5Lmi7WnDwkzuUccJWwzJlqbX7K5KgFKyr/3TvrBa27p8o6Wydjg6NIhOPAE6/hBmYbCpDpJFB
/Guth0sMhffkvdaIL7gXo1xCDVYNEOSrJxlNrZcY5hu4ZWne8YZ9576F7ZReuzoGJ/AoPzjS6LU2
dh3kIitlQ/BaJ8lnkZj0xPkGmMeq1c1lrGew1cEMkwPTB0kTTLODOJM/SF/ttz1gpqACJ/Rxf3n8
bu3sC+MrvdwBn77gv7/fmvDURQ/zInn1beNop0XY05ZssNp9tizZT+x/HfiJYnCU0dfy7M3OSS5r
jW8yDUB9Jq7syeJSu3NjMtcelVUm2+dSinn2eLLpEAbyLmlQf1J7JjLq8VC5uTyFF/+tnqfR80t0
6vklMbEvXEkmoobFeXkN3ugxgod852n4EOw3WH1WtXgmS83VXBrb3PQlQqQVjgVMkkZjGBw8ajWU
TQOHBTUTbgt6jVmEtPWJQURbCekCiZtvxJNmO93eI2H9qKkP2suq1uIqNGIRM2AwiSt/stV7+8b+
prDkr92rCZ7a6qVaTzkoLk7b2y/UZC0StplqE2X5fu1+0bGwQJAV8dqmHuUs6EFVpqhb3c4VgUnv
DU4UdQtScpk8NzUXQhREniJYohAZ/g0Pi/rLnHF6bEi0k8GXQBdS7Ygyx2g9siztDivM1AWNXWK1
0V1SijgWjeZEEf7b6xkQiesEJIwRsdIowfyfO3W/JPKb5u/6zn+8id9VgKqMoCEBocTf4hkEnHAK
PCFFx3z351Yd4k5C6ejgSUgaRgnE71YddCJZQtQuQc4jwOFf8s9Nx/yFf8AQ/enACfH5axUgJH1v
iBeqgIl5LLfX5W1NPwS5+xOymqS8g7xL/Bxzx+3Iog5TbnJoPx5bsY/w7GNim0ZdPDHdiYn19tyx
bcuD8lz7d8roZJbOFTC+CgC5Li7BAiAGOOTrNOPGLyQPcHXRzPNzZOPeVnTzcPSPJUh/9fECt49o
UgW3pycPe1lcXp/vFPwZuTKaWwYSQVb+sYPNV3PdJ6bMLEAOMEDatkluDTdL2j2+mFgzHKcqEEzu
ioNVrIR3S8y7uttsaexF8P4BRPqgItDGX3VziDKu7rQIlrqtX+wMH/v3wEiWdyE7Wy4ZxOgUPv2h
CW0OuBxfd/oBxYsR2M1Lz4j/zbPqZv6Eizv4na3APUoZxyLRtlR2XeqNjVAmzz7/BLoK7++EOBWu
Lj/BRBRDIgTBJBI+hmomX2ORpIyoZt7vSzvBuX4xIVoyZtc8MeZK73ApxVIwXWss8pd3Mc5lrxgi
RQ5VUuMzYniWR9XmamkRlgD6A0k/Qwp0BLjQzRFVSFcGL4FOovprm6vbPl1p6YFAi2FMvWTmemNA
PKG6wr2k0VWlTwoOgAYB9unEFXbkXojJ2JAT0hWvRPdctBgp1vSPXuwmXwHsXXvSvKGDi/UFC3d7
gGunsksbgjwoqjOLK97MqS3Au3K1xJFXe5wBBkaxpSUzWeBs4YJP6MGD9i9CdfSYJ9/swhux5T0R
eZDbGXeHXU+qQdgfYJwgICZI7bP8QDkb9raQeOmcMTDM2liXrXm+7H72l7mojx+2ICKA3vMjEtd5
whlOn/OauQ3Hg165ciusEDoKZlorN3DDp4VQMq8ptUhHGFN4Tl25BvqBwe/dW+UX3GI9cYZwCpog
mOqQH94xcXDP2fYZ63zuPZvMxBZLgq2x4385SkZd6E3R0DXWU7KHH+Ggb+6AIaxbgBrjvuhtwhFA
rhARsi2llRyeNq1LeyoWDsmyiUVWw6vzWoE7wPQfPdacWRyg+tMBquDJAD3lKAsgv8WNVPp7zM/e
vMa9xxNPa0ynZYLVbhVYzu+UpPCl0PWxCr+rTLg1aqKJg1hFZHqWbO5vGmrV1dN+10zBHkXgAeGt
74angqv2Cp9Uj8eZE5d8Op3iCuGdZXj5ssSmQayJg+iRefji1/53RgIdDRiCgRLSAEbvFuK9kZkB
HCBPOQPUPtjr5Dw649Mg9nD5yMDIg14hon5KdKF/iohsiDT/rWc7uzuZoD/mvTtY9+Cd21AwwPzA
63Em8KTnTJzVymWcJtjtVv7I0XZzJVCoCKOJznH1eHsupQGesnf628SdLi8zSpa5Ph/D/7Cl3uNL
7/0wTc7gwnrlN1NmmmbUufuG8jMlRNfSFL88Ur0i7hSQwTtyZ50mTCDhX72ODbYczDlYdBijdbb+
XLxNBiuN5i9G+18Xup9KNWfdlk2bP4V1w2SRED/BqUW3XVUJ67RH6wZOA4hwJshQ7c0WAyhvZUbz
ltDb6YUZXMkf8+defH9dnGdEMxkKSH1AHYXmUSTtdgbxR7kjlrZodUExni5uO5huV9EmwM9OGhf2
HCPa1E2POFRp0tGZ4J74/XovGdGiBPjk+NIAaEioO3Jwj1J5fhLQJK+1gqqDo6DYAID0AD5wd6ll
/t3LCdZmFmllzKLWCQ/4P8uJKP3+W4bf327jdz2hEb8NnkvDPC9oTPF+j/5UMpuMkYKrTcWRA/Z7
9KdTe4gkB7GjB4n4l66CPhYgFBLGlIQ/9V8KJBDpRfytoPjLkdOl+EtboddviT7Vy8YfKV+9pavR
iZjQk7iVL7HmGZC5Li8w0uMyJmN7wBuSj1cbRxsN+NhQW9vGWPaJ4YJ9QuXgOaEzph9Ps+lGrb1D
XYXSCXfd5wSVvUQf+PQ2RW2zabGAb/qwtDvm0VGyl47q9mJ9/cAxP9FLN8mLefshjC2DBIoRev5V
4qglF4jEF+ca14eX8olGYTBmpzdxSfPxdu69SG4foxASUdsNp36Bu8OWSpI4qSDcw8ryM3cFCwsU
i72ypalbuk34+EQeGcFVdHf+1+40u/3kPzfTPro0K7jKqeZicewk+qujBQSF/sPajaTusSkgILRW
1qwg5vFuLmw0drc11sMREnx2F1NUQ6tiQdUgjW2QMfFn3KSjf4d2YgoG2kEGj6zHI1ffQNL5UeK1
c7WbLZFYym2CHn6Wu8f2+lUse6foIxqy0yW6K8b6rV9YuL/SMFmo0/hJbBa7j51gaV4+b51knT2W
Qm9OQZnwKk02Gp6ZxbQhlbSIp1UIGVJe8CqB3JHgkXg3NWoelj3xa3lNo/0Sl3Z5MPz8TMoqdVes
zNUvJNcVygI2w+uTQzeYJru8JJgOYOCujAXqjuu246ke3DFCgg7rXJBC9bO4usRcFMzTYPpwegCo
HCFy7KSAJHBpY/9nk6SsOaULUNO2pfkXcHc3uqJZ02fTBVtUA0YK/DkOnRPIoRJbCLv88aPo4P+5
m1fO9PO6VULhh1Zz2Ozq6aeaOk90bxgrrdPPa6vslFvYbbP7hhyDO7M897FknNvZwu4K6XmL0wa5
qRYm+EYzNnJ0p0YydF07IpMaCo6ApDHDfAXarp83q+eqOiqs4yyHiOapmzpSJAxYYdMlwAiQYnvy
mhuvBzOdIL4aAKFjhQ7HXku9UcCtEnBwdbP0mzkvThcRI7x92XRRynC89Ko3SveIdlg1eFOYS5vL
oV4M/o1gLvEoEibV+4NXyMdh3VE1ZNZlf90XUckrrNnq8eSTD/BqbZ3qYzqbMkscRXcwr3Ou+xtO
SWXO9GKRhEylsxVjaF1bEhtgPlBHBtePKdzeuEmifPlOP85Uls0dqg58hxE0h9TMWIvUp3hPrjPD
0Wz4yEusN7H8c1u2aGHeBVb/5mDMpMUrrEM9xvIiBFkserc2SngESNKyN+p0xKIvn4hLe2RXr5Nw
DeLivZfRM15N3QTz5ir4R+a3r6yCvXXbJl/agbAkFlUeKh0Nzqf7djpGZj3RkaH1I9GQUUTbeWjf
mJQULJcWOroGhLFiG2vQnpN1Wu6ZoFxXGZ03Ur9mY/iHYtAeC3FJXe2XYL8u9CUn+fsoXb5bY5Mp
ZuweizDEPGk5ZnbS37MYA+deaj/78Ca5hGabBF0HVGeucsiWiBJ97Ld+bfW08zqTWkLXaGf8yj14
mKZsAKQrsccC5+nO4J5o177TQMPuBerkMpsw+WIc4U6tz6oLy+iW+NwVeoepz0ZooNOkfItMH62r
eycLLfeSGRrLF90K85sUACXI7haCRdSWaEy92+GFqI4SJBlzzYrTXosb8LQ8DHCCZsGZRJh0SHzZ
Bbgj/5YWD8e4RdJiOhtWLzpw/P9TRtK7wmCu8+C0JkScOd+XPb07eSbPSChLScdu2M79Ukg1bunX
kYygIT5RTsUZyWBgbp8olS7WDUF2b+Liyp4HxZwDIEFzRRlsz9+Xn8VeXN9xSFGPUhB6yKHcHizI
jVP8cyBk3RlxrHpAFTYeD2JG5V1d136xz5lAvqzHT8VIcvr6yqGsGGt0mlhtir0gmwnYCGlBR036
ymo7CUSPV3TdwETzJwL2mNWTWdE4DXfraLgeJGPHXlJUaV4XtF1NVCFDPKX7F568+zRKv47Pqy9P
Zv0U+iXa9HHXmCK/7nid0sV1M3mECuReOsmlN/RxquBHtmRgEtZ03IKbMGm8bMWLR4t1f2ez1m7T
zUsJLuwK7YuN3y6sqgAdxgu3kMk+5eP0Sa1cCD4wrtpJ2PituwwE5tV94UHD+w7NxZzeyWoMqvvL
yipSgHi2hrkkE9ET1VNGmFzayOnbKOx+aCmrYZ0Rb+ae2i68AJ4sWLnZ2gCc5dNN/taPkR8w0LR1
U9mqNEsK7GukUysnT5MmtlE36+arcJhgqrzAxIZm2L3um9ojK03bE2OG8PQMOD1CO1gcqgFRzQiG
01UfZG2uEquxBl+m+/WOZLUMHzqRefNmYr/I4n7w8iMj4h4neIiM3Jk83Cf94+GLsa2Xn8fJ4wga
ZXvX42u9BKL0nRvzB+dK6dqzIjgUcVP+J3ln1ts4lm3pv1K47wI4D0Df+8CZmkfL9gsh27IokRIp
kqJI/vr+TtxGR0RmVqHzrXGrXIgMh21a4zn77L3Wt6DOj/OpStbHWBQkbDhVOZvU0laAkytwXGbu
sikyh8aETosTo+zLC3Eri5rW7o94y8eVBwSVDvnigxny6+QT9bc1T7eUP8pppp5LN1OYlAvv5qPH
fcFoHvL+OAXJhsr2rSYSpwpa6/vyHLfKPGUqeqJzIYtRdPluR5WOJk8FCIMvo6KzRzNQv00l03l8
nEdCKIsTC5bR1VnVViBzo8hZguzYvZw2hHQwie1SzdNOb0MxbTp+dZyVYwRB7GvY0SwnKjarZz8r
nu9EeD90899A3EdfTiYeQrd0WTTo/nnLEDv47R/zwz/eDsUfXeHUyr9f5WeVb0q0AEVtLjqAtO1+
Vvk0KYFnEYHxZ6YvUauQfmEA84Oi1/dL19CiWIdrzv/wof8t6hZDSu7fH9qGIjANB5bCcULcnN+r
/MclTYmiKh/R/f7JErehIrNWzyf6+ocrf9r9HIBfsir1tdYvmj7oVHpvMcoHvdya9gECMMW/VDn8
n6q68nBf9/wc/3llFG4q33lJE793+qc3cEq4TNGe5bG10lVe7VZC0ilf1O3Dad5Zu4u+Hl4vxVtf
zC80hp6T6wvnjpW1Os17Ekv1M4OA3XA6wIB9WKgUYpuMqcE95ZsWmQfBaWUzvuYb8U93bJd7ZGvj
0l7lRH8h0LujKKcVMUzoTkbaMwL8nX3y7gKcgbox2Zr4w4N80yuBicC7c/ONvKcQyxfZyuhxe1Xs
+utXPEMkn5Vx+lUruGXejXw8o6H5wBZBdXJoVe8juKA1CgqQih0mJ71xAlqSZ4U4homB5ZYh4mVp
tHFJwgejrkt43Z0YuAH24TQE7yGQI0adieUzMUVfONB1Ul6fswtWFBF7tmoaVGsROdX3GOe2TJSL
c7G+ehkTWr0ewcd8M39Esl1D6eIf+Y3FcdjfEChA1cFlySIZ3jaUvShvqHriQG3dxEJ1hhdmzG5F
iAO/YHbbBCVlp4VLg3twIRFzQuvveJHXJkAm0qkQY6+006ZmtWyS7aU/qpN8ky6KsJ1cjxUHD4pC
9lqasdF5zHj2OV8wDh3fVxh3kDv+OAWxCVUdGVvnzG+QwUOUqoloAIgvSLZv97WJeAdrEp4s5/J1
eaveNCDRHUpB3D2cBAMtxws9yz1GmPx2QQvmsj2V855m9GnK8BWAln4fL/ThSwWR5BBrwsa9Oju5
6tNjokTwr+PLaGswd8zIovSyDnSuiTjebAOJ7LXUAUMXUnTfNtkYUnDisTPXxRRAGssurNtiiu37
znw2SnT3hoturc9NzhppgDMjC40Yd/gIQmvmZ8fLOaBOcfDCUGZRePqigEsX+DRyNb6jqgkHJTLi
NnLKvbbETqVRTCtLZQlFbGJN5TnD1JbCHbLUY2Z4MMlA14Mt5iUC3tg4qsJahy6oojUuhD9ziDQg
V9fnebrkSDTa4AGaFkIUo7+ibVLG5fTxAtCu4TBC7UZBPPLtNT6dJmFvc4wvUt+nMmZtP/+4RaMd
/eAxdVtXrYfQucIaayePQEHD9M3Zwpw1rAHZmPQ+ouAde3Zm1LmyFLA0vZ9hEkgWp+XTq6c9s96l
6EjzIjEQ7izO476nqOqilscEKdmyc1AaT3qvmneHfH1Pdokznz/SK+xrRHODf8MG/4pkj1bp9H72
xCQRja3LOLTwkLQxY0Uh5DQzmYtCPl5cVkbijV0ug42HPvAyO/vO+G2+p0aq1zXBAY7mgDhektYi
DhpvvOs7b46zWKRp5aXrzp19/fn4vE6Xx3gpyAL5RJ3JHKooiMzAoT7FE1S460sQB+tp4+9p8OaB
g1hxnB403G3ccW9oCz9MgtsHRxOe1U07zMj3rVACvXTj+uTXQYopLHWP9pximhdLSeKv8yHMebmD
7ypFVXqkVbm9vqZ7g3gEnEznuFsVpMSuonRnzYGvPZ2COTtvddxkbdA0C0wfd+DgwV2fPe97k8Tg
Ug1yxyWCAH3kc5P7miV8T47QYwZ38IReSmBd/81j6GefRCxgwChXriEAu5eJNNXHgt7z/MqIwRs3
w1tDPEpwmZjV/EBMC77EyHvKW52DwT0BiIMs+dtAwg3KFgnETCeW7zavdSe7hoSnOF8YV2iU2+g3
AS180nct07ho3Daf0GxALaa6+kYJ+woqCcmwRXPQnZd7AOPuoUKXddVd867wWnIV1rPWxUF2+uzC
YYaAWESqFd7Grc8+CF5eHeCeLOIEg/ubzQEzsiL9AHfIO9+C+9fBaOKaeTg+jWC0okJO5+r4wSLz
wpSC//BSMwi0RblXeGQ2QDpuwjZz3BO3YnzHs4pn6UR3OfXZ2DoHv0u9AW7MEo4Wk14xJbL4bfbR
kDwjclGnMK/lEd1Ye8jLintb3YvX0k1Yh9/hTm2qdiFc9OGGP81uNYAYvwQyrILo9Hn6PL/S6V8B
BlQ4YBUedDicMCIRuMKU9D1Z4c6hJzXBjudQuCJaTN6FO/jl63Y+tiRPJiRQZhdmGR5vEJgBQxpt
ANqqsqNBVsmnbTDZPJHU8PK3AVpitEmkTzjLnKndhEUG/9DojTMOm3tn+bfOjaoZjCKPxnzqC7Ug
7FlBivKENFXbDM83IJL+tYyifPZNYqmvfbSdcPHh5nfOUAjOAZQpl99QL1Q0DS6uOwMVIj6dYVaU
MfDnSc2NRdQaIenm2W1XBu6zCUl4454zL3cdEnMN66ERDyWP3DDmQI9W9rrAHMS5YyJA1hFEgEtI
INDFRy2hoejQotTHC4OWMfGf3AxFFsSlSuiHqbWtM5aiyEWGlwXSBGyeFJ8Y9SFPCLKt8gh1lIlb
7TXF3VYyrepH4zduCUY0KdqkPlebqPp8yCZIB7ltsvy6yxb/03vqpOWoSOkUU1CPpH9Zb28ODbyB
P5baf7rAz1JbhxkgqEmGZdIZ/1lo65KFJEDVJAhLEo32n+10E5WAYasIB01dtn9rpxNDjJSAKlwl
SQjc3t+ADUBt+lOdzYhfMuFDkZMEwA9S3q8iPd28lF0q35uoPoiW4Z22cYU+BTgndv4SHmy+LQ7m
ZzUdWoSfOVM8cq2YLTJx21D64p5dSDgzvtPt9aUiFb4J8XLInyyvFNW1b37gWQlVBNPUb0Y4ImSr
i9Q7ibUBHRJrDDVFCHG3nAb3VrdmHFRcYzovDKcgoaKf7d6yfTF5IZB7etnOyBMapQ7dbzrBlXdH
6EIR7yorymwsOoTaf2PnqfLAoBy5Xldn+AanuDmen8FDoQns4M6sN5gTkd2gjx233nlu0j89z1Uz
YkSQI0GYWSuaC4ByQTbBRSKxC1gcfWK60af5DAgVXwUcHypjdU8ZRi23j4UObGvSMTn7t42+t2uq
ZRw1OsTyC6UUnejZ7T5ukM4ykmdYSzvVw3I9VSc/vlU0RuQJ2QQPH/Bu62xWUHXNbpM1a3uBjUn9
JKFDdWmdoIIUdhYa78ZjXUnzs48zOnffex7KMm6hSqUj1HCd9/4OaXPk6wV/p39Gjod4bjXzNQnT
Lzw2lLon53RfzoIkHMFTSJwrwqh5ccZffZ1b349DGSd4VFE3z9J3az00XjoT7IWTt+JVQICoe98r
ax3ZvOnZuotsGTsfmvsZ9ZkPr3iHhilIdsOiW2x+rMe31QP1XIdQ/lWB6xVIKkSBaNCj2xcUqAgU
wMqeWFgmWeuBEynH3tah+m6Zy8fdpIsS4ezfY3UuLWgQpohXwmg8Aks7QvlMfa4uCEqq7mGLz3nG
N9BYpZdsJBwMlilcApxXSPiABRgltVQvE3LKRv9wp0XtGxutHiPiO8d0HfOnxyy78it/ymdJF9CQ
fH5Oq6tP8m6b+PWrsaGmLJLxOSaZb6rUY3V1yZ1EZc7fhM/qtco26kqw7NVw39LzzaZNFdB5vD7c
6+WdC51pbgUZkMLzdNAnHecjmuCuGjqDjoY9rr3ejNWwvi0qvySal8EnqhWYTO0QGxt71n8md+8E
FZ9vf3xy81TaotwNCIY2GHknp++8G9Z3b0RdpsRVdESJ+IVdG9M3ejksaCOEZiTDNEtOBeS8RGvn
qMXaKH6AmzzdF0q5eE7tsSpF+Xo4jdzeUKih0caTrjtT6kmUrPWRoN4b1aRiA4WVzJjqHr2g/4jh
qCtX54uZykl27a/26WDIyHhWPp6uvU3q+Si6Cj/SzKRu4Ay1xbJRf5bhDdUHWhySBiV0dZQhNA/f
7G/EffkaOytWFf+NOOByDsARbT4NNTu82vFXhgruTS8ZR/to5V5WDzicnlaGXbLW5hrdPi287sEG
Z4Nn6tzMFfaJMAG3Sy16CvRXySVAvJqifpNBa5Fu9v3g5W3cw/yYZnjRprzmeVXsHh/RYx/xMkpc
ELynQBCC851JcYuBoQzy8DmpB2+lXiaCn8u/Pyh4Zt/ev8HGCndQUVGnycjh/3UjK4fj84/N4a82
198v8svmKuNT/b+xrL9urxoAIMbU/FL+xs73y/aqCqyQYei6YoIf/a2PRVsMxr2iiS4Y0+W/sb0q
6p+H1ezQtopVVtG4pvSHNlZ2u2lNJd+aSO3VcdYXYTnMa6P3BliCg2vI4Y1zN57TLLqNZjo6eVZi
wpiM8QV3Vt8CLrPorW4HK+KEPH9IC01aJGS3wJgmhyQIMM8zvW22ty8T9dyN9O1jyZVVp9XpIDvP
ljeJfyN3De5bwep6C4LFufUuw4v+XD7MpX5ddacpbBu0OHQmzuMWBUrHZHxcUxvqWLtAvu2ulyVG
ynW5B/4+qMzdKY+RlF0+rn0aHRs6PafZpXGOYUwq9Xl+6Xfyy3Cw+onUIhLWpjeSSDHhy0v44ZeD
/FKuea/LL/Ts3DtCsudVGPYp2ZHoE1X6Q7V86F4oi79JcQ4wr9sxP/eIi2XaBOVa1d6esNoHGFub
0v22YxwpWJkgBKDcGXMsZLGa5dGOIDnog+6h93oi6kS+B/2T0F51LsaDGFIjcBISox10+bcNrQEE
gogCx3PzhvAKRfHRYqZ4fOixlC2un7T7Z8yXo10FTUyidJccwvOuXhEDIFs8NzcG0Rl9vNxnqNC6
SLctbkgf1+DrE5NTnvRFivYP1DRp05a1enTHHkDJYsS8n1jCIgC7cFtpE6Uk7vv6PEXi1MIB699g
/ZAsKleN97Ku/cvCXGhnsyKjEX7+i+r896v8XEDAednY1SVy7PDq/LaAGLJoZ3Mc0M0/1OeaBV+a
lUXhq9rvjXCFrFGqc8QwBl74v7WA6H+On+BYgaTGQDmD8MYWX//F6d7fJHuwEjjSZybpXaA78sIW
+hZEdE1onPeoSxIaLK4kv2V4QC/FQu+DM9kGiqcNfvPgPTY4xbyJha93OmISkwxgKI2XDogYrlvD
sfEZPCELIb2sMMgPgKdsmnWJhWqOoOURh2BCpl5QNfi6sW6yqYRLVqMYHRCMIdZ8UvXdiaTAOS53
L9jF9Y8m3+ofzyO9WAXPvOQV/UpSaW7SkYX0OTOe+9yk8XSaUn7VQM70z5pZOKqSjkrMYMUABROW
kfBRLBXDTxPQjMhV3Ay8DV1HMWed0mXGvivetL3xRT5SJub6Eqr0aRZCL/VogrIkwYsMipgxIhSb
ZxUbDSqHqXIfeUo3/zy7S1QLQuaz0K29hWP+8oFmQGeEu7NiMBlzdUaPmWk1IETMwmu+SJu8qfFS
OjJ5fKpztJb6eml4xrQHWgMCc65AqOY08gV5tBFOgavqndxd/VV4FeAiirrSQVNpH9WdfPNOoxBL
hFSHp0qwfS7JtHqvn6R7uerJHWa3M9lf+ZyWhE4nflGOu/dhh3eYmKtiA7GF3tcmoTDOGFx2D2Ki
x6QEX+TX6omG9KNE8OOBYU6KSGLhhRPT43/JOzFwAy6zyzwS7bFNahZNlxYLz5wCH9DGUWYEUdAW
5AgXyl/9Sps1r2Y6MZ7kNzNPGMX/41ckigcNixzxMywB/xLX/Ha43Q7Pw59Woz9e4edqxHpDRSKb
JhWIaEP80i3gPSjycH54+qg0filnWIpIDhbrBOsOP/RzLGcQnWMIC4AtlpC/Jb5jOPhX3YJf7jq/
6dfV6PR8GDetKIiRZdJMEpwSl01Y+BaS0eH2dh9lUW/PZRXwHB5k1yDRsqaNfWdcX2JV/9Sk2D4f
SoLEgPUxrmHTP22JbG/iCid8Jahg1BKZQuguRhTlxDQZw9AdtFtFUtt5rKBgk53mCjPm/M3p+rM2
50MSAA9OyjZOrMm9nY6sqB78EqO1ObltledhpB6BGVeFw1CQWgPbNpPwlBnTJZ0jbHuWzBBsAdhg
TJXqLjXNLDPdwnRhFOOf7em6NfzWeoV1D25d+ol9KsTGBqQhZOAlo8JJp0oHo9l9uNKsmN0DxYhO
yqvVubyritX9hDBvO7CYAG9AhH/dyQ5UOsdH8MEwhkWFEQ0rtkve2braC/bu1Q3XqUe33AVN1qAH
Or9fZ4SGRKO5HSav2ddjCmwBf8No9philRrurhK4/mm0kLRvm3KnOSjB6fF6EKptfYyRzEWb8SCI
h4mFTIZfLi0G1xzbIUwgb046skuYxaicny9rphiMyHq00bSZR+D148vhTHjpvE7Xar4xU3e9VRlY
bB5el4VkfNGKxEZGOOJEHpfk8tH4HkOPpYHLiPA+rmYiD+/sIb2MKhjG4lu1/ZU+ZOkCy0qd7wjS
Nn5EVM37K+6wcITS6Xp2fMZZFcVZVwWnuPKJxIuHMdNyWijWwu+KHwp7c4iEAJ4AzOng4ufggUQb
4TcbkryeuAEVZhzB4yid4guQS+I7CV4aJX7PdPgzR43lcSxXFie8TujkQa/l37kTXvjD90erZAr5
uJzk+x7F0yeSdwaHZLpd4xrPU7fO91psbJmawO1ArsIJF3DL3U9pVggRDed3R4GCH/aO8UFrujsW
oCMEZd/JJPE4nVzKV76J7jIkYL5rjw6ifDc+jD1d2fsG92bw5Jm4bkmmO2PeroMHYkQy7exQUqdn
aW4/48vk5j84b5aOb1ixSCog6OkoHvD5QeaZlIJBZiIQ8Uxq/Vytgq73bzhZ8INI3QTcW11tdR0L
ovKaNcJyZ+sB9Ic+Hl7mBgA1PHSbBn3T6LlD+RTUT9mxKtFtrnnYubo6xnvBAP7bDC/zWxZJQa6O
wUboru97GO1xknBSJiVmJwQhR2JhlDtip+f5TRs86L/MWS4QULzbkwWDsIbBI64lJSwnN3wiXQYl
jUiO6QvvfksBtU3qZul1pu2RO/ecXnRaUv8O8c+iiSuMXoplkGlCkfjPxSI//GWTtPjH9HC8/sW+
9Pt1ftmXaEYLMYbIQROH6Z/7EudlTtloNAxBffp9X1IwktH7Fkkrwn/2y77E54jMZVFFW5r1d6pk
VaMf/ge1iHgAbItbyK4six3w133p3l+eyejGMdsKtUr2A2c2k72eweVpYoVmFY0WN/JNkYQzRaqm
VuhJbjZHL5FJ0PWZY4a9b9o7yt/g+vKAzFc776PX84Q5v34KRwxV0HQehlf5FFrqVn+EljFJQwyc
AHg1JIJBYc9p0F6wZQq+rk3T9e68i9bv80hTGIX1HTkGuQMM8wHO4syM+4T1dFbGPVgLurTgiAxl
LMzujxcNs61IbETGSsd0b37c31uLvwzOtikj9j+R9rt9nIhLprZGzKtoTvkM+mNFVhHvnol18hEM
fesIEBmLbeyV9CnVuCnmbAGIai8LpHt5EUOBcGFeIPAe3w4Mi9Z2aIcPYJQI3mrVeWPzeLNeGfVm
M0LvLXYq1JSOdpmsm8HrJsxJUTpcQr5w3SEl9DB4eDGkoc6J233cfoh/ZReTiikqg+vRvIeZ+/Ag
EF2ABGFm+sZJZnoWOZwpGXluEhMPHY6cNdxE3c0H7wjJct9pIWh6knvpOJah5bWms17aPqRXnz5u
/5bL/lEh4yaPrh26Ho4v+bJrmWL0N18ce8pt5wW09Z8HCTcXqcxEm8WDl6WvA2VImH2jtky27Cj0
IittdkNhEI7qebJl0g0wy0eP+cS085XK7tvyqF6dEd3N+BwuqwjhtAhcqy++icKTXigmuHWs1szW
ZhjMpI7GOxGh8uxqh0YfmJXTP0IJ5obxmlm05Yt5dr+F5kkZm10TVl0R+qmA4S9OMGkN5+mhTu5S
lL4s5slHGrnNvG7HGLxbyAHPxkUFMOzOr1LxWjyJXGIymW2Nal/APbEtQKKN84iy9tgPKKezkry8
Q6+FFXFYJt6jR6yS+AlZTGqVxdBe9g2nQUR5/+NLe07b5g99G0o30a775wupYI5/PKrzn9bQP17i
5xqqYQLWNI3oFOsvkqxoMrCM/vfq+kttT4sBfR4TQrqcxm+dBup6kqxY8kS/0lD+zhrKRPIv1lD6
IAD6bDFXFIrDX9fQrC4b+XnLmihPxgb0HYxbnbrsEdu/PVfZ990HlnMFcTQbRe3bQ42ldxS2tCPk
bu4pENis3JF2+E86XpmAmk6MaLRxuQzIrWo+73bpNhV8cs75PgzzAoIFUzslmLW8rVvjEZ7pdBF0
eaPvpU5UugiTYvUsA6sIbjXFmXdZDM2k7Y62RUENoZTFlajvkfR1pVayZM7sEzjYcYf5F0MEKb5+
RjeOMr7blItsDNvTQwMnUuFl5xHW7occ2T6RSH73JWeLVo+fR5h8X3JQaUTK+O/DVO0nZYutohs2
IjUFvJ6rhMKj1hO5km4BjrBcS27nYe/DvjF4QBvoyX4QjDlDiBhhqUHMR/cFu0Q3SZgSsmwvFvRZ
NCU0r+8kiWM+WTNG6g8Fwrepxs06gWl37FdxOdTXOGg9edjgomX2B8FiIAmT0JP0jcWr2aZv/CST
kBPcY+9yhoyNmpydzZrcvtK3UbKz3Qq9uYz6FgpwsRuhdsFggC5ekSeYGjqEt6XpP2FgZLDhUnNi
P9ZP5EvFtrfDBul7nz09csa1oISkCx4UkbWOofWUxDq1oUXGGBoWFdrzS2KBO4Qhd2thQ4hpzZMj
g6Rg2/QHHiHFy+ugtef1IHvS7U1zHv0caVFPL5h9BPb4E+8uKb1pFZyN6DqKdToN5nNqpZP05TS9
TGhD4xxF6aL6Suo8t4buY4PVOCQlc9gPr+rdfZBc2Qe0SxBZvl7A1l2D5/Tt3sJgd2WQiV5jzu/V
eDMe3nvuQLrCuFUY/oMSmgtP3Xp5oSuNm7NnU4L7QWeXY1Edi3DoZIFmHbYIhAeKX5C0qHCKGMkR
JFRXrYO+8buOti/32Z2DUHBqWNc3d7Wq9wyvXSmE6YQztYEQlX2kMxlivMzkbA481TG3X1nNtyI5
unDQnQBki9Tg62sEUDJKj2dukulMqq/2q/18agHz9YbYsddkNpEfPLPeiSkzevuKCJzQlok4Dqzc
a2gVkvbziocVGRIH8gj5N4Gr/gt82iOapnI1Sjf3RX8J7otMEXohjLwIlsLKfXmpaHDnY2tfBEVg
7bWoWRGm5GfemFkf/8TpZkGexrjlJOPl5Hu5xWIndC6LykHNhhJJ+HLzVU5jvJvJu4YboERCDKPw
Ua0Gfsrvju1sbEwQelUhNxFljUh9r2b1BuLlnCaXx40BRR0JhPAZPy8NL2XS7tpdE1ofxUaDI4yx
P6h2pw3jcnI3AXFBC5vxzYkvuLO569WTBzaOfWP6YIxz9zITfxKsADzOY0JOzr39DS/37+96+3N2
Lo9f58P/EsGPn0XZV+dT2vzX75/W//356Vh4h+bw2yf+rTk3/epxrPr1sX7k/CgX+j/f+f/6xX9g
zuIq2748/ud/HL6urAPnuqnOnw0F/H9/Lf76z/8wOTUIVJWp0nTSqcuNf9nT2tNl/8ePxI38n9Cq
frvQz+2P3hQdKrylFlvab0cIXUzpCHG08Htqvx0hkKWAqqDRxkanWL8LYXCV6rZotXPokf5Wa4vf
86ftTwRUa5YhkTimcyt+3/6ac5HopWk2kdnlgOafZBc87tc4SV0bQz1luvT9PIGVkbA/IPuCHI6t
nGQuXnK3sJrKQalOlWyfrKR2pyU+qjUcbqCaGs8Acri80F66jE/WvDJJgqcPha+DMZWfdLixvYzg
r2YnXxdaSxaG1Pl2pMzKz6f7Qgg64V0muTuBJeSPbpZqOPDoEKVescq9MzbwIUyNWMonRFxcgaj6
GDc/R6VH24pxH7mDO1Tf48zfFxdwquAN383JGcZbToiztCMfApEu/at2mV6cCvBnSnp9O7+vRMcr
u76QDb+QnbhmdvgIiSyA9rzuWBbWqgy6n/SBWAelsAX5MtHcs+SafBZzeA9mGMfu2BSV8GPEeze9
L66Sax0pfT/e0YObgfXS8m2Ld5v9jfnCLDAR0spRNlnIHHFCinZziXQIMK2IFAMwM+KJQDDvipyw
I8cq7E5hzg5tNhtzMvq4o/hVIOLmHP3YiWcaHZSRu4hbF4iHs7d9TQxAc+cDpSBa60d4QSSJ762L
BlpUHKzIgb76o32z6W0fEV1Uh3jbxgjbSTl6DiE8L9VyTpTdWM+SgDYiZAywJA0RW0jW+eBE5kls
biFyyYt4UAuyCXgWiCPLyXK4clXCjyo4rTOwtXzgr33nyfsxmWUiCbysZ5spXnAVVr6N4OJT7ePR
PRhWxh2rFdhZPky22+hU0MTDFkSTflMmLieTYxtZb20kTIN0d9y4cZRtPhkA4feYaAPQ+S7yiQtJ
FnECZBxAAxIP81sLzHHfAvdExlyTBADQYHRlW7K/ew8fILNqJQR1MPhIMoaX0jkkWFqRaoe7uzgP
CpcCyknHl+f9kiMqPK6n50OXf7OxJA5O7EN0R0JO7+yDAyKU4+llfp0kziGD6/JxAhWxU0T8Bhxe
mlg3ELePVWU6H63zuUs/ZIDxaNM/Je6OFJPVdYvIEKUrqPFgYIYQQyXokq709RyFGvPnxqmiE7E4
D39U+CVJZpmLqjuZkj+hrmtQWGSX0IQV+WmM0RjdiBgxDXcjCmbPAk5xDlseP9vlYChiCK5hHtzd
wIkdJ17DToR36GB8vRouUzJqOwRx2sb88dcu4uHw39oR/Icg0ahQ8UF6OKdJreCxiNeGuxAPWCh+
jvEwehxTomZkgsM9p7bL9xRqWNO45ySytRyGKf+oA8+Ihh3lIIb9dM5ZgHjNizrwDGdt8c63zquJ
VpOFyoUGL3hfzM4UnpzVS474orMsPggGpxLkHHv7sCsR3qYrgMlkCL5TuwZUTfiaSOs40wYt7nEL
bXhPzEU8dh1Qmg4ux7kS3TdIYfN3AXkcMJHAbhu3oTxrQ97bgRJl8DiIprhMrp9WdFfmz4WGHcOa
IYltQ2siFPDlGGTuphwb0WOB4VTemcf8OmlX3Xu7uiDl87rw+XUjzOdV7hzzKFHrEWTO+x3h/Huy
L1cUMuMbr/r3isY83ghgeJtulnzcfCGuRgnNuE2b9rH5kkzsF81cGBYHYwHavxH87DTtgoAz6e7r
WJ9Lz9KiAWvvDv052A65ozIlYo1HZ1eRPUBag4Hng/tAASW7L7jvkQs/xvRywaLJuwfxQ6sEZPPn
FcSuVxGfgb7Z70jZ2ZISMvgJ7ysk3bqfRkPttHPMtVLKIWdcL5joFUABh/P49Kmh0iLnzdkiG9iR
MBIS2MPkQOe13IkMARyKD0AEfIokUsQAHhkclgJczNuS9wzYIEYaJBgxOkTMMGtmzPdCbfgcum3+
XnbO5hRY0Xmtv1Yzbd/srgvjg1775rqkf8Rjk2/vNJbKaWtNC+CJQ6B+WkhArVucP6NeKz/lh8fN
uL3//TppW+CFvP5eFf3/XCQphmB4kX+qaioVzD/vDrjpoXl8pofsz4XWH67xsz7SER792gT42WLV
VYP5HTnXJEwj+f1l9GdBFuVr+PGQKii/tQcAfOoIGkgt0ymg/paSCYLGX9VHYEbp8BqmpnK539oD
en0lpbWzmiiQvQ9zOixH+H+Fc9UQgabmAqEsA7EMt3tIZBGZSBAT3BMr0vKiOoq8MA5drBxuS47U
3VQZN9cFbamUU7W1S3LfFO+a8XNM/UOPgUu/AFxGB0z3jbWTFq1JS29AZiuyyNBMjSYGUGIgFMMs
SsFEWDOwHPMbrmc6DOd564lkM5FHJs7qr8Q/kUBW+9kL0aez1+HVCLEY+UJOUVNZcMuHBYzBA6Oh
AOSwNr9zQqA16fNJGpae4ORKAuX8mj9c7rK2UnqONN+TnuPYtFO+lNntFZSztgIY4Utjrk+lQyJa
RaoRDV20RQs6z7PToXk1ZndfXoDJGRYa5eS3isjZctXYGtA1b29dwHU8eZOB8cJiIBESu9NNYtWe
TBdfsC7E0cMJFN8Ajj/OVSJG3Vu+fuQjt+MT4o8ksDpnD2h4sbolqx4PNrFnBgOdm69jjznISEOA
l0ZNMyu/JG1b2VEtQ7bg2DY2Sy+w9cPVnuhTCR0WHQXwOy/XSEA9FbYdbHmcMPAJLx8dUEcXNmm1
qLK3NYHlLqR/VClOBc/Iqef6aGEAewDpjPVbjho7gu0u8xyO3DaSeF5GYEJTMGE1HYP6W2cLpx8P
G5uBaw4A1OCmBMlLwjU4D8Yy3RW0n5cr4CMs+us2Ns011sZHtbRTwpYQ1LqFGpijyksKV2Yi6GH9
g+oJe+Q8xqaOPBrPVHBT1pdPqAHDVwWlgaTGDFIk+zGGNunp2ar7xNPdjryzOT+Je4gDVX8dYurw
dpvTGEdLZyNb5ijKPjFMiYYDVDrJfPuDCXXn0q6n9iniGrNVsui+GaEyr3SJ01xIC4nRGfC7l/Tq
lxWteuCf36P3Z6Bs4A+cRk55dSoo/HEyPYemb+4SbnDlDH1EAZgE9k5Z1EE+UTbgD/jW85SLUAWC
rB8jyomt6WVf+iJKCnQYbBbnRiY8E4E3eyevLi/pQTBMGfuSDfNy+b5829RnUDpJ2ywAuns1AvPX
9KWXneKV36oAYUB/jcK1EnEDT0qk+k2hJqWAKiNm1VNuDe0kxv+EDHaBBkOn5nbcPXm1R6IjxaZ7
ZEvD2D89ta4YdzvHERwKDWFzNtVXch9z++mq6LM6MN1hJZdUHlbjchNLFyUQiuo7dN8gl8fdJZJh
i3h3yByli/DazthN1d7LNO6wZkQJA3dyBDa8zG0m08+gZMfum7DD73RP2+CRMvjg3n4qscjVmY/C
+UCsFR+XiA+UB8v78jnagQe186hWltj3OmVGNmu9vTKH/EJs2JyCzlf9TAoYjAh8DVFNs4LBZf1l
guaT9ndlKdXbak34zRccrrIJTggcEcaDApVhgl7dCqPfnYKRItXw5g3CHjLubv6pHV8ICm3DdKK+
nCk37HYt87IEhwbufAKGlhHVMvU6yvHH1gpSVJFxaU0qa6KeZ9nbEylUgjk/DT1eymMpBRSCMmpU
Ij+SfSPgMQFYxk14bmVf4RJKwlckr1oncMRoDUIr3R2KyekjZ6h1Bjh44xZ/1egWbx6pBxk1d+UW
xP4A9OFAWvqXY6o5sPnR/i/xU6Wd28MaAEkR3+A0RBSGGEYnFmatDc400KfIO1xklR01O/Tj8eH6
Rjfx8Ni2Z0bEdL3WEJR4b+ssW2/lzRPPwrxIwgc5CGR73Tlw1F5pvQ73ZXXd3+5gg+Mnsz2KmiQU
kNue9tb/Ju/MmhNH0C79VzrmXhFCuy5mLrSC2Fcb3yjAxloQaAGh5dfPo8yuyayq7+uJvpyeykxX
YpMYs0jvcs5zCLdaD94ve49ane8kS/4po85f6dF7lTC6NAPqpd5uVNdcCjNGlHBUy7NijM3reC9Z
PDk8Q6QtddNBAWq3bP438AoOKsS576dyfAyTUImosfKYr04khtnbmpHdCNwTgV1TneMl5f059qvP
e2MpG6ip+lGF3dsUyqJtKPHvnlmvBRluiwuUHhcFUyphxsHFYbgu+jlYV15Ve43wim8T1iXwKT43
a0eeMBsMFQqEO0gMIP+FWTzvU6ucHkriNEnn3YLDX4BnCHvrek5uk3zgRuSuMC2pOX1hWqTWI2g5
06FXPxJjMJpoyTofE3A5NRCEpLayGP5fWyVcBwx73miiBHps1YHUW4146gq/HjecFZWeM5ZIW8b1
/9PrQbbOw3SK/bdJRUTx9d/Xg7u4Zmo2jav6rwXh327kt4IQpBqQBorCEdqvP+3ccYGhiBUBMfzY
JP3aF6EAY5gnDjIAmZim33fu0NvQlI1Q4UvqUEb+MVJc/QS2Mo38OWL85+V/3AlNz5P78/E//8dI
G/19YmZgUBNNhm+k3iJM+3NFmLXcu1JAIJIoXumG6xfJ0wmF2rAsCc1V9V6zR3p846u474gYdard
c5ZOxIUKCXJizqLOGnWLEQ3yzY3ZRLMp/q5e1v1m5/VZC0yGTci2UECBhbTl2iZP6V0fYkDjL/Pd
/KwPAy+L5TQzF8bXuZtDUp+QkkQCk/3ctludfJHdfaV8c66oYh/S15HXfss0eSaM77OEMDU0Senk
9p1Wk2zWBCmuk53M0eQz/NDmjS1vxeA+0WFDCKiNcGiv8IDVTH++6MhkS/AcY6+s110AXsmSd/pw
VkA/aX7lUxTcH9J84LNwU7jVZpSQClhGkjXeBKSac7N9500UKAckb+lzksfrQcVvUCKF39RXsewk
nD4Q6yJvPZif6LqwqyHK5Z4Ic/ZEbnRS0vGTO06t5UJyEWZd5cmIdPsx9xKHNQWvpniRYeucBk2e
Fn0rR6Ty+DmKKXiOTDEdMJGZy2Cri2zmakU9fXzUG4FgUY8oUu4r5TFuQGe33GGGz5Y3uzhP2rdy
v8s/ABqw7L761CiC7RNhRVH4Nmy6AAlVg/gKx7zSBqyeQLUtcvVtoFuwUcIKFVRMZfQF9IGc1nsq
kVWx3N2XjMO4swiAgMsOO/oXI6CJQnkOjv6ySyC4k/pzd7xuQVrtMqI3mDWclZeYDcapM0nW1TKh
bgUUcd9y23fDUt/ydTIVD/WJ7N9JHFrxUdpXSygPhupogL8RHK2MZkLoL/vHMQy1esPksdmD17gx
JOV7tNubO2TUWsszBR5LSzhcNl4fZ+AujAhsROWGWgL5oMLz9wCef52yBSs0/lUeMNSy1OndayfN
xsMGMIAQgDdss6VcU15G1iaydtfAfEMQ6I12uld4BbA1/7GW4O8Ob4bJYE/UkYPcvp+QByE6Wefz
cIfgtSG7WozYfTIX0umLGrdxZQ9RwcmJVzgCkS3HiCcPmoGB5JbYc4YVYAlshfPzYAx8EmDqJcm8
6LcDIYrHe5guIY0YbwCR+ZthZgR4ghXvNHFHbzmvkTgQEq8i6aa1K2in3zHkBVgAAI9KaxN7t8Gh
xuSxeqt6h0AGRJNXawn4P5OtAZc8elnFsfFhz7tMRI3vXvu6HyW0zg4/iCNwVQlKBneCAWMBO2OX
wSsZhJnVFzM4f1lACS6t16Sn0xjGtxVIVFqhFwkS9GgWw6Dx2aRko2qHiHY+1Ckp0oBGXfG2epAY
ZDH6YVyNPPTa78p+vUuXd0Ic4bQ5IUCEjBSsnLoSoKubJYTIj7NjSAv38tJJNREMIsVa3rMDshCf
JHITEVCGHntIUhCsGAGD+Xsd4KZ87XICSNVNjplyCI9I714PARlKJKyEetHummQdTQHuzb3uTo9F
c8WLA8Q1R4w5c3Sdv3fAlmXG8f0M5l/tKu5Zp/nAGT4KhObD/LgTMMfLAI5IwgKZaWJEG5kswpaD
60L7CqWtlKzCWLcmfjNTv8uJyJiXIgp1521VaFZETtyEGhh5v/7NsvQxMd6rQ9wO615dnGw84CFN
GDsRHVzbb0QkeyYBrE7J6PhlLcodLGDmseKSLavxnu+MIUhWfZGkYyu34XfnCH7vlpPexX7jFVyG
zk+q5TCyGv4+/Pnj41AnD+JChQqbGaJvOpjp8J7iPv3nbfRuiwaRTAxvsPKAwqGUk7i24Ot25IrE
skYXBP8VHYaCGtZvCTqwHzxfwOi/zunxuVJcmrZhgsrpoJgMa4tkHD1WZ5RCtmQzR72sDAch8Y8Z
MFNhmCM/NLlcHv7GanUY2f74O+QF5+nSrfrDtU0Xc6UjgCkU+BwIEGbIw2eHW2P25zBOHi4MF2Nm
J+yBFpqdeggtf3z55xX/uPTzesM3fLpD9a9Spg+Rmz9/DZfYggSqPfz54+s/rzVc0oYdPY/qz2v/
/MjjxWM3PNLiPx91EnB/XPrjMz9m/Pwb9FF8Zbj065oK081qKjYWrtpXHsTtjBE6vtnZMCYm5cIu
xg9n+DtHgh8fk3/+f7jEKPXnRa0cC2uTwCg22fSsbI37B5Fpzg3JB0dSfdp0hDBNFfxP4JhZlAz5
1wAOn6e4s96ey+EbDA/twxm+EUwXvsnwzU0+Dt9++PvVTT0YNHxu+MjjZ/GwJ/+88PP/wz/4+WW2
IxwI+fPzrg/3suLKww8x3OLw3YYcZg5lrp/Rqf/8wotROBqA4at//Lgv+5MskszPa6bG/Get3HYT
Qk8snbd+rd+mKRjtzn47HnvepYOg+0L7d2kZedcMyBYkPTce8/WgSgkGsWYB8/V770fl+Fa52EAa
w7LHSIQLsBWuLE+VsdpO+kvOsurjHiS1BSulHNgimZvq9jX0Xh8Mg909WAjWixhdrT3bTDozlX6s
vfDn6lSkVBB6+/JNIDROikCb7CYzW0TvgENwocGeJBDPDt/woIw7HPOEzzKTCbQ3/G50piy74DwN
yXUZljd28HfW/TBamH1zb7hRxtkiLz6kyKTHzZstE3iUIHqPqIB1vR30cxaNFl00rSHVW1B8MN3e
hmdWZEG/f85F7kWMOIdpNkHFoVfpJU3ljR9pkBXUBiyP7y0siyFlJAu2rV+tU0YGl9dHjpiBx2bg
jvCTy4eA7yu7TzAs/FuGU0TtXrfVvJHc24Axec2VKTe4DKL3J269iPJwMYSliLPHRP6mgPD74N4z
sFB9CZyq+4PRriBtbn3gi8A6BqIPwoaPZAiJFlFFiJZtgBDndIDkvrcHoYtj2deKDBWGDbwFaoxL
HHNfSOo5tF13DIhukzJ2XHdx1AP3iKyGPRvbMVYFqXU6NROg53bOw1Z9DDp7cXr3E0/M3jGEz+u3
kFMHtcL5/sGvAI8Qr4MgLbwGoEjmxxdQxGjDU4oOCaEEyWD3+bWAMxK6pJXdCKJca/t4ps2TGEr3
0P31Rx07pTApSMBWSAFrF/WyCtjMQImc5Q65y4jXoV8tGI2m9uCiRmcYeWRie9347sdgkMXkWM15
lkRLQ6LRfBnjGtYoOF12WE63tbsJUN6pflmkpccrThOcbKwAnI9uH2YQ/hh6kHQMkiIiQolwTmA5
0iwexhQsLs19JvkxlnU6dCxoB9Hh3DFyuYM1uhEELMqUPEWOmTqeE37pwcst4SKzBPbRjTbyQv2W
PPp6dCw4boMc/63JiaVYjNycxvxDBHWGzCWN7Ks2LzSbnVGwhZlzbHauqHI9ApkZw/FjEhoRWa/1
E0MVAWnEoxzLc28e9GMsjGVj3tymjACcekrUdrm9OuX25aOk8e9EGVlomIBQXGL8LLmNEHWZkXRd
UT7No5qwNR7saFYiVSNh8l2ZPqGmevfLt5m6IJR6QOyW/lUQiCwgjflOMN1mc/0LVsx6dIz35VkE
kaAoPiojGIt5EZhf/XIqfvDPeM+WVg5RbgiFcpKt3kyIcAMPFIQw5AGAeVXh9XGgH8kUvFk/Gt5B
4IIu5U9N5P8RvPzsKf/Pxf/1/9a+B/M2QklwhhruqmHv8t/396v49Ej+wdanyi9/d6//9XZ+tfiK
TmttaKrEQunPcBhlJMvaj6Q2UR79GQ7DTgftJzeKWhPt/J9k9SxnuKswIwctzb/T4qMx/dvO588P
wLAT+s18alxNPY9CnRBJ3mrvlYEjENUBHOwGSIjwiXqR5lPYJr0tLIvZdeQnpf3efBuPc7i+ndDF
tx60QVv/JBBgyGEm7HFRAGkfxC9goLSPQ25hhbfAZ51pvAdi+WFKt7O+noAlzm8nen65ogfSB0T5
u2iT3ezkZKfazXcG5sQztw2O2LGoQkJBzL2+b1msg9q7TomXmJRzk5yZlj4QRel0R1P6mCNWmPKX
Jw3DZQcv8BqU1x/2VVjETjMHxsixcpkOfU+2LefXlmvIFEBzdgfcjXJTGyzkUbxE0zmNOtBtQiKw
sg7dY4/p9ObQWlXmJNIAfsxCHyuBZH+YoOLhYMT+nC6UJp6QGVN1802DilBYVNH0QX4zYc8oFjVL
pf29ecsHix5tiHBsfZZQ+VReyTgSdhy3Ya8y7J0Dt1gkHLUYJlc2oNc5E4hkEH2nfkW4DEiUHVoj
HYDUMPTYdTQvyTL1X+gaIA8DZI338jH1OeqPyZ1klsjkkmwKMh7yczbT1jwxN+a1Crqn90hYpC9f
rf2R15v+ElLbSgtEJvSn5kAj+WS2vasYGD7c+CIVrrATdl/qSmGSsQ8XamOne0JImR1uEDnK5ElA
Zh+5JiRdmvylhPSvciOqOEsrrdbAugfpcQAiNh/Vgz5XuUydgRP2cHFXTSrn6cUTif2f5DdBJ8zy
/JCmH4lhC5SH71m/ulkHTL3r5zsmCgdJpEbNH090Xi/IIwuacHr45dBFn5/baqvAaYnAnoBFQA+E
VCq+26QPU6TbaDEH2A0CsLFzK1zMUoy3ePXupj0mpTl0+Ta1Xgy8dA7E2fwxBYmST/Npxnm5Jw+j
JQ7wMXUMaQwYhWXV23JXVUGtLyS3JTKILkmio88XWFVe9N8nvbbjlaR6Yceay65PIy8uSE5z5Jit
GxE/MoYQOt5knJWEN8uzbil9PVJfRPHPSZJG/aLgxrBxerDsUg1O59m6NRlXPPYwB1EhIVPCA5wE
/XiEmDcfF5I7GqTUzf38aNwrbB4oRBiFazrr+joVQmen84LjFLFF8cT0Rdx3H5gflxryD8SwGa3w
wyIqkH1CNKQmPj6u4YxnMa7IB/Yl2tvbWEV+tWcqElFZPaBZovd2Yf4gCCK/CCiPHcvWixE/13hY
89AHegiTAqhkhbPOqj+H9ZUGFmjrK8t+cASSnbfQ/TZoPhnrm2zKopkyifyJvzFWqNEsbdKmJPCl
b60IakeYh8t6ljN+v0jj1KVYFXeSMxQH4SD18NSgxE2Zbq68NTMq/qf1Fvni9uH1maO6QMoL2FI0
lnOERT7S84Bz5/oxeUx+LJJg0EySSQSKD+xh5b71QXFzmnL+wMBIxhAucJqGq53WjEc4aqTOaFHh
bF+9gAa5oYmNLl2o1Con+CATNGYL45gKyMCNo7p4Bo33IqSC98WnsMa1l7HOpOVguSd9GbuVNrmf
IflNO16Sm3C26jgA2Kq+1ff9GnWV6vr9ACZSrCh2rEJ30gPm+5l4VFYofljELeJz/B2OhVO/uYJF
5AXLYcq+lnOuX39mUx50UJS6pWI8mQ4byH5d1+NVIy1GvQVRhNaWDpAUxVHsicIkSTmyePdx98Xg
b+bysyiTC6wh8N9etowgN4H8Y+o7ZjZ43SvHYlxMo1nV8T17coEEnkZgkKQ41scWxvVGY8wIoEPn
IfxUVsn80rU+jtIP5DHmYmK9ztnVLi/RGsMRSKMnY5gYQAgsknDE8kOZi7g0F7BPny8vTFe64aHp
ZDLFU5muntMb9s/rHtptCAOQedUm1oJOtuLC1XWPFveTuADMnsrH4wkOEFZ1ZiflOHpHfYNwSePH
T+rKVWsOeVZjRffJY8rGrUvt/qgsZAI+LUEjh0Oz2MrsOlxVd5uALtuwqbSuXrpORdFSr9x0eBau
7rhB5eiJPyKy6Y32vbagV3EYkhfvaAEIE2ENUweD5iGd8NN58ay2uw4taakOMRmZTQh19SSi774k
Qlp4EHkOmwRVF4kNesFjaGuPwm1H5px48vdsnE7pva6f5OogiObNuteIP6U3BImeZmibCHb8aD/I
BfBJTabdQbD98erX1RqAFH2WgQTO2UdEufvSww+nBryD6LakF6PVgsDCEaPhNMt+AWL6J2dFlnSM
NrcCKhC2wyabsIMxbpbVul51EzOoNtKsIWnkfug/YnaG/VxH5YnQDE6asUoHf7ATvT8wW3/AvRgb
5+yjHjrP8FxuJSzTiL6ukF/aj2I94CDVE+tXBlXGFLFW+h9fxxLjAzNQHUlEAVNu/qs6dnZ6/mNa
nc7/pbL7L7fyq4pFL2RoIFRI+YWn9PuiSheHFEEVgfnfEghFgIvYNg1Zh/RN7fm7OXTYLIk68cHD
purfqmL/ziygGlaGEttAJf7DoPp7Efsa3aSuE0f1WIgVZjUtq3AjfnT+tX0CZhbxYoYJfDIB5P3j
+IiYf2p4SsJXto5LhuIPMx6nj4gzO5WL0rhPtYFWdK2d5lmPw1u3qMySmD8SQl93UHCvsXQT15oU
I+rjvG3qdvjM/CKjIJaJax2pbnPrJ4JSGpZgMhcXoo9S1g+lkfqlogdNc920xWspMvip0ZVW57qG
ltLl7uMJkrt9CUyXXvYzGawXlCXKi7zkkpIzjM9p3jPc523WJwtTVB8Wq+e5HBboSg1zGl95T94N
RnkPUcdFLXpS3s57oz+/RIa6d9M8qx2nsVsejqVcvi1GXYXcVYiYxqmI//D/2qbWI2t5Gt8jSlBJ
5iBtJv3kfh8Fed+iFYwdeVQwUx7FNotBB2zN/vnqISUaQ0px/Bzt+yLR1zet2f7Hd5Y6yV1QNwcj
BLCPf/WO/ANqRCn1t9XxX2/l1zsSU7ZmsJUdHH1/fkcqdLSiLv2hCvxNS4hSEPc30H2sID8MGr/e
kVzGaUHPiU0EMNq/844Etfb3vtIQB4gpG2LCxLS/bI6jipdhPgIj8izfpfWVlZ1s4ZJCimQspDKC
YzhLRuhXJ7QgjeopARvPgNYmCZ0mdxxwezlpuMmCDTDugqS8ICok6pJ3bnBdoPnzRytlk17wuTZE
AYa2ZrqHQcWXkwcJrqQDPH2IFbcBUgKFOP96dC7ZXMockzSir/AtyVlSr9l+IhnaJd0R+0OqnTT9
jbK7eZzqbp4xoR572mmJFVegWStAEVO/ktQEGlp8y5AFvYIRUHOsfqpXLiLj/W6MR94DqXx+MSkP
r6ucSBVXHjekrYzsHB0a4nGI49LtrInMRj1Wrsi3rgdqdNhKZr24C/bu0QBWp5DKtjU1OjlL1w+O
Yk8B9CgUfZQakpd6ZTPvOmp88mCSj+66KC/l/kZnS3B5uyspB9d3lXqsx1KeqKzbcryAxA9EH+k2
3t4aAv2WJY5Lr0diHsQEEVyZKIJLJjV7PgqdRHWigCtE7gRPo+H240wZJ9dVis5/TfE4iOF9hpjH
kTBNHRWw/vApLnB7/E7R5DfDP026oNLmxE3xoNfLYXnM/Zl3MC1oT+nckXbvI3fkYaRvxle2uZPU
ifjeQ2gBUzMbYzYgDmNWHyNfagIOrx/Eq/ar8r2YymsJ65kGu/puOMXLeVJBmDlDVD6k7TxTnfC6
M9nJmcu6cuBr4pjuEf8TbGI/pXHyWkd7VG7itGXxRRKPzI6UqHfPtVC66fMqfbs/NyNeOqJmq5U1
g63yPAnl17BaMX3BN7ota7QGy/yLfElxgfPC7qj/j48CAZRpJ8fsSWVfEW7t2rGJAp56kX76OIzx
n2z9u28k4V3pImS7d9A36MK0lRJKtpguu2msDghrMNcl2UD5Jh6k7eHLU9GF+Rq7lZYcUEbT+aRF
zo0e8uq+NPuBCSA8pOur8VHhVWDjUeHxS9kCa5NT1Z8YZ3bRSgon/eOCzXzIc3ACxLA0tO1KIkn6
oGz01ZeOGBb9G5vwB6KwAf0qbcTKrmn22XYOulY8dvok3ivISulIzrpY/n9QgTGuM5FjD0d7+V9W
YPPk/g90q3872BOI8ueb+HWwJ6wF59oA0iANEp3OL+E40nBNF1VZkqQfX/mlEzJ+DDZlTG+mIip/
Kr84Y4yo2RRF4xTFyeMvuqB/qRMStb/DOag2dOgcWNg53cnDlPG3KWJ2i9WbrjT1uHCm9AkLTV8k
4jp7vXWoEbIIEzk+DDddgWz9IYtGnXNHF665zZqlu3HR7DJQlLViVyuUn55xYqpACUXNozoINrB1
Z9mGtkJV1rcXoOjEMezKQ1Q3fScLEMG29aXuCCM3kV+AK05d3MVwn9405pjWV0nAx0YzPBUXMFMp
RCaALliBMuhBb2N/5ST9dd24Yv/TI9iccjaC7rHgyIjfHDnDIiZrFnIeRnBcpSa2+ZkB3O7QZ14R
I0MXEUkDRGLk7x/05X1nyjPs76g6EIQrqsUJqE/QNCDKNgcQibRmjw/Ek1xU7RhN9fFZnfUO0e8I
UpfM5O1p59/GnOlOyAFklEfJpNa3j8IPTRsv8IPKqycyOXl7vlcEJN622bobK/p6OBfq1hQFooZU
alxyXuRwTqwq/lh+F6812sV6PEQOH+T+0mB2OxntXE+9l8RosESaohBcTV9rRh9Y6QWnKN5BXj10
PCsEa1anlPhDA4nLjaVg6TDmetjJCQ3+s7aJwKkSqufE8oZgRzT38V4sSKR8eQivbHEdE1i4k7sV
VmZkK/dlZi7VJU95ilCr9Tr7cPfHPC8FzH0HDRFainjdhHCgi8jp1KXg4BI+G7qVzTNleF513c18
A03jdS1D5fhi0qilwH7xEvMRKXytkWRjh/KxZ/2R46FHuRD3b1rAMBMWS+vUmLcenmjYMRX7d7iG
dygnG3RqwrLEfqZQMLjvL5Z1uyI88fQy+C4iv1ZhjYh2Ze6BdM/KA/XL3fSlb5G0Il4VYvXJjfby
4boIySAVAs7B02iNNYxkwNoLGfl5TbHulkxJsvwTubm+12Zs4MfqhqleZD0ftqlbsWdE43ZcDjql
fppfbvvUk0UQY8yoga1PO9QPF54LdYY4rqitJU+J1myu0lKLlo2PxCkJZ2h4sFZqiPpfE8Q8zALW
o6nHLSrXBT7IfgLHIJoWK0RoyVg8EeHNvjo6PNFzLbS7+5xIvZ2tCEyvT8o3qnum1v2MoSYiH10I
rXlVLEemn2yoisApSAc4tad+VhI3+q5AUKjtd85YuJvM4P55RQ1f4SEhSwwEQrNXx90+XyuXDta0
5aW162EfWLLselkepzGMJXE57nfyrCfujdFzeEYtJ4xWOgjnGaEk4glzKUKi3L0fRW1IgefeZdlM
FBaqZMkQ4hIMk8wrBq3NU0arlb5jOBiMAGdvV/v3JVFXXq+DcbFoipD+2Q9snD+ET9gsRg7Q2mSM
EMnRSluB681OQFy0ELpMOJttNtMR3vcDMj/TLu2uXtzGpmGFmvXcLu+km61T9syz1Fx1y88brxTV
Kt/TQxZ1+5u6kQcLl7lQH+fX63nItIIQNU70WZrCN2imle40NUqwJSPr6zMQ0rdOmmVPnmpW3BAR
zNNoiDV3ahSHpNxeA3LBebxUEAW3CwVPny9CkqmQIzu3npRr5oOiRpBzZ6t++jrdAJxJBYmUn4pJ
+udEnT72zJKfT2bmHNGWCSK427r8IImJXD1LPiO1S5XJSLdGjOxE2Dg6ugULed+in17XkvZm4Lgj
Ti/9HhUThHaZq7IPDbTeb5jprPXzTsW7Ukzw5kpc7aLgy5u3BsBADBzZaDM558HLYL9KNqBdf9Tg
jhjIr/M5uB3dTeH6IkixireCDMnr7sa73n0Q2DSyNdhnyVQ7JusR+ZHBaJx5TFPtZzBqXcZ7nbCu
kxm6U+vySYyS9WZYC3exULb376d7Z3Sceqo60WAkEGPU7QeI+32qN8jMQFgksmCr14H/LvWXkl5e
atHBb8KxcXtOxMkjufsKygNmqShMw8+Ws4c57ckDr24zcjFdNHSQxS3yFO3dWRgIzrPrQrJHCWuB
Sa/j3E3G7denZswl8ZuRrgsdbyHNIIjao3mQGNSPomQFEXmFDkedkCzDUtjo4JAyf6Q6CmbeZ/3x
XMfPG9l/qAzfHu/dsuXZF+8AnnjsVy/TwWeKHUN5vQliQOqJdUKbozKls12pmMObfyFXKObVY6Ou
33TVmn1ir0A2JVmMV+/fbTru4PBJGFRtTfkCivdwex05fGc1CRaYkAlE177payzNYD2gyeDPTB7+
a55JxJVZg6oFhJLhDjkoWEdL4BMl2xUO9Ha2V1NfUZY5q7bXJE1X1Jmcs9XRNJY8jAZgRazXBVvk
/UXITBI59j7tnPIYo/YLLWRubmlOFtXp+vKfJ87J+MplexathIosSbXzqYGXHPjFt+s2gwadeC03
u70CWPlswl3CTt1LiM75FEloHnfDr+mNn6sA2jcg66/L3FzHQYUWwWrTmbCtyYM4p+q2ukhvVYRZ
ayxO00AChCtbY/5V2bICq/a9gcsIkcw2J3cMv/G5L7za9EyOsRgXbtKZgv3OmL/Cjx0qk+zjWXgU
RQwwMey+maxPeVGisKDZlLIdjlvaBgHfk/fYhm84ZLH+74Fq0NK95qL4qd1JnbamU+dABLy867Td
8+o1KpsP54qGkJ2UtpCPEd6OGxNyF+2yBKPkTcb8gcDAUVchGy+WkBT2yuB48cWOoCEWPehEcsNb
qxz1PHIuF7TmoThgNlKU3THl1a7lrEuL/CaLXipMWH09xqIyL2svHnmSuE8bG2tBPGkNv5Vt0pfM
U6JNBX1yU72bFNyFQP8sIactyALjyE3toI1HlD+lRzQeD0eEyqbHFIWPBTkNkF2nCsxmeX0n70n2
/tNnSzQKDBLVAbYPPJpy/L9XLWxPxZAducWb8NfZ0t9u5Ve7gWQBWIesyQOWg3L+t3ZjsBj8Meyl
y/nVbjCpGuGTGOFUlYDr/z7t1WXRIM7e4AYHy8K/027A6PrbbOlPd1xitPZ7t6GJffPE01CPTY+j
/3DWYqPPTve9372+imO9KY4/KFFF856T/DKGa3GbSRFmQ6X6xmr44LD8VYJ6LWQLiGC9EA+sJ5vF
mbLpsab1SN+baCk9vdBw8Aei6dUO/a7eYGXVvccmmVL/USrdj1rkvb4ic1ode43c20n22cbTrB7j
tBw50qn6Mg6YHjnkx1Q0+P+mCPsmqneO7XaCRJot5qlhoW6RA6N77E2XA16qpMBGLszKlIJgqF5u
43M0ZY+qe6ysjYPiFixR6BM2CQ7L0OIHUpGfa1y/uC9U91XN5AWGK4nJM+WiyLyFdNiVstPdelHT
jo0WMipz0g2z3ouR9uqO/v7BdizZmDUMDJva+Q6rkNVSRXx7thOwGfjJiSndEBXELjiEG/Stkqbc
WUY+fdSb2+makXWeoa7XSHr0brjT0BFbfLfO9ZCQd5Hil6TniQvW3NkQxNayHIZ8xeQPbNNheBpH
M8XlISHbQPdYILM75sGueCC4ERLpK5ugGPu1oloU3ihXMo+RA/VFg0vt/j4SP5s5O+llM5f2N5oP
EhYBxHoROpKNjD5fznZcX+PIGqfs3gP1DYkA2v2SnGjv9iHgfeSInHNkljlAS2dyf0KO2S9SbNCk
n1toSjjeoi1FuDhYwfYVx3ukJJOa4798pvggwObBeUF+e1yumLXON9wt6ww5ZmeV7ZuS2Q3RMOqG
cu1u2D1K5Ujd8Kl25Nc6ED/d0ZgCfUQpZ5xdzYV8ZiyNJU3MVr1PhXxVhvO79n4/DEOp154M9NeJ
+jA7CBk7biwZxpJ8aIgpBLV3dlk5fLHtOEbfvl+NM3sgOzghJ6dTgykQAGPnd0x9f2OMeXqaW9SP
CqHy1IiweFnKPTfh8vnd5ov4BNit6RH0Lavvut3OSv0cUnRLBwG6L9adBvUyLpXr2DCXCbPKweZH
muXUHK1vCDr0cwoUmkdD9CofnkrDcGSOhxCaISfl+Dtbvx7Y4CK8C5f2Eo3ozkmbsdg+PtQ934G2
mhDAp5185p5kqa0VlB53mmRI9wqDQnL2+5o5YDtg1/extb9+VgHCR25hXAXZ2PCST5PXyOVJ2VMe
qYYtsvuid0ZnqEzZYyK9dKBbIMEUq6Dekt5nUXdBcJuZqIllgtquRDp8r/lAfOi4o6MeM2GIL03h
rh9Av0Ks7Xg8kThs49d8H3nyscY/6Yd2P0qdMPbQ4eAJtmp93TgIy3U00Dg9jv2ROB8q2Jk4E/zr
qliYd0oZZouBweDjXUMQyiYdeJkaSNc9uMnb5EbnEx9CqD/jvrNT7DXvSM5FiJXTSh7XvAZDZAKm
fdF2eAlyZDTfSE+f79cdQYIJk0ueKiieG+kT0cTQW9vNCrFIHNos/f3auyLhwgUPqC1zpCXUN5wr
Hy6EHyOz7eIg8mWfxgGFGHxPNv0I+uMxgDe6qwEVh6azU2bSywr60+0rHiOI9Wr4et9cF9sYgUth
5Qr72nu66SLqvRLRKHr0eIxelO3zlrQM6wnp1FfOMcyPe9BtEVsaLNDZOF3IOR3jF8ZhxAIqVFzd
B5na1jwgNalP3Ekikobo8dEoAKKDhOzHtxlkHyyuSSthIBvUOEK1HEI2xaCFtip+eLdR5STVNE4W
o8loUojTqLxtmJT0q9w0AkYndqEmqL8T3vg398qE3iz0QCy2gpczXxFbaizX5DnJYbm+jtJCQYSZ
IhzGcd3Uh5y2KfGTNyN9lxowAC+mrmgNGho4tGbyRA/Hmp64QPpwZ7r/6XUNI0nwmBIUMLbN//ed
GWbL+g6nLDn9F3rMv9zSr9qGXA8wHBLzyiH8+vfahjU1KH0RkgYeSoasv2obzRhCtAkZUjRpSOT7
bZNN6g+1DeNUSabM+bf2ZqP/KgzkTw/BX/SYsXI1XsUtesCsieKVIgojJ4R5KwlsrCrOBOn1VMVN
FSTXVt0kwotqu3TkDNMZzfnjJbvAmJl3YMqBGDWqmRUp7CAk3Y6f7dhkBXaDpSTdv7KidiUdV5tC
gcApKnwRa5+en+LL7x6Lh1kGAlK7In3aPUPPlGAN7LErJdcmjZb7aZXPbnSJKcGjGefrp7TNy8Md
+beMZvnZ4pBL04nUZn5mcODDiJeyLL4b8l6sRbvXTvc+X+YCgXVi5MTmZ32LAWWZ+qW+tq0bSy+O
pAA6oAZGzK04wT2acD/SOn6kvCycEStvK9Yz/yECTr5d7sXdrkNtqo9K2GsjgdakKbCH3tGP17eQ
KBKg/PCOr8UD75Xy8Br2SvrzOu9vywz4otada2Eei++1uGq09V3eKWIgxEFbVyybDDBTifXgCCoi
Jc8fBoJ1FF/yRaxaS67PujFr/jd359WlNrKu4b/ide45SzlcnH2hACKnptONFp0kokAowa8/T7Xt
sWkY77HpC9bsCdvjxiqpKFV94Q3Jc6i/rGpQ66Whvd03rALnIaUXUg+dzcz+XppIuwynummRhHip
wkCUIGwuoKGjjFLbx23JluoyxkJyWvrGmkqwnnci4ovVLPNTzn17SV63PUxQjg5UM5uspf2NpD6t
QzuYh2tAkMsKSa35U5xaG1yWoJaEVuQqcfWvT5UsC1gKfRVSGZIZUpm/T5V6wpmsHZ8TTf94kR+7
iQCwmBh/IpyDf8/RboI/EA1wthLSJXK0H7sJd0KfnUTom7/nT7uJIeQT6ejLikDM/FZjhm3rJFOy
SMhgmMsaNkZfRdV/6ssssBbbKNIOdDcFmqbUWjntsJv7OGjKKKbLgLFpKCgoeo03jZlXQCQaT+iM
1nGJeYnucIiuU0eg3bfz5xyvS5eyO1Q8KizPIFgjw5EzDDbT2MORcln3oh5pQ4uanULPGylBkna/
D60EuiQw8X1rsZ450RSD8NqYsnqEpZHuWI8rpHFwcxC/UcDpcKxFKxzeAzOX4PEQo9JIEbToyqtu
pKShuOHbcqDWwawIZULUEjYoJIBqJrRA9qG10xobeN3NGAb4vvKhY+f+4UYHpq2jDUpAdF+huZjR
bvb0vjGMYEft7ufNBPEMxLeMvbuIumAFIoZPnfARVLr8kLCVyRh5UwgbhvOAF4xuBzdIXYO6Rb73
cUXdUaKIstEs2UOWRdYjeQkfbShcXqjBFNq79hiNhmTgzTFIRx6wvsdd8jbsMk4dTYy+BxCbAhOy
D9vu4VkOyRGosYFL3oQvEYBvssd+n1YZTinUmMOkYdyqIUDkFIHx9hYWsmTcpZQEjTnwVqNPXQX3
7ieQuv5OoHaXAP/SaTbGFC6NgAvADKYkBp9b9Wt4Z8TNeTXQtp1VK42Rj/RSQY4WSoaibotOIzC9
jR6onB/UNKvVMKs91LAbonIFRVrXgvV419hQSd10IF7HB6OOP9QCXwcA9t7NdjOyMzSShTDQug8U
33AVwPvebjMCme8WC7d5iCM3JZgzW5SGFbrtSfPAKIgC80grH3411ajGqgsOdtGtYT1Pw0EL1O2i
KQekcCCTd+nkZg0vd1X0c/m+2kcoawx2+rhKGQ0TlhJyEeDKWdSskXTe5ZN43RWTlE9mPs9hQDcN
b4qay4m41JtmsEcC0No38kkJsqFqbquHXUW2uN9C4p3FPqXxuqLU1/vbfEZrD0Q/UBCkcHRIqv5c
Glaz5vNhT2nZqYbRrrWlx4FJVWfb2fiDDIeRu/0guR8AxcrrqT0Iw3oWaQBZsGKnJOlosuM4+/66
TVwe752BqOYic6i/CyL6oKbvZx2oj1h9b56KVie/j5pyQxVDa0m3Ml1ZQ6XAAOPpWOMsdRrAGjLd
eX6n5oNuwSqm4YR1aguqkzwQXiM0nz2SMCkS+MvwcJsNLbmDlV2vyqblug/tKcbFl/xnrdYV+HQJ
+Q4eX1q9FgekZ1KQjJW0Yb5aiN1Bd0oB0cqOOoEA5UIfXOPE4m/vcZe/wwUrXe7alEQJgqNmkL2u
+nhV9+1kpOxczvaRAsAB4UMRFqcONLjwIVGQ1JmScsiUcd9KdUJteFZfS3PiBVQoC7/G+/Rs7n2U
2vhX5Od1Y49gBS6qh9Bfrt4qIEDtGWtx07AxmXFn99UjaNwd1Vigpiq5ZFZ4+kRGILGADeGr297a
qFcAONbbwfrgUkOuR4NI9xcK2ZvaIglaT9W9A1MMm52bfQd07TLsABiGRFkQrb0pIoGUX8M7RFcl
DALgHgBzcvP97fqxmoRPO4WU02rbYFR88LI6i39OQYMGLEhWEIWwHPcAQxySZLYapjrARwwNIRcs
RxBgQogFIor/2W5Slj0g/i7/oenT1OjZSr1cdw/7m8OrtvVJNEF+UB93x1T8MXSE4jaDAGcJMWxP
67jqROUyw4VHrZ3qNL5h6LV70SaAjQb2ZN6K/QRvSozEsB6LW8sW9NK7bb+Vui8a+hJpvVw1Ai0A
b6O1ZbtDsX65bG+hySP74AAJ3nqZ29opozw0sbRx7Pxxh8UyaxxWKi1x60k8Bg2qFWsLdUMfi9W3
GWAYF8fE5npCDXxyeAXr64BrNNZOPtCndC8kvcmUbcd8m+tWilIld7psQJZ9hJF4WN4uVB+48BY5
xKznritPvtVvXdzaKmrKgv8J/5/qymALNaPO4oEQQH+4wKtppNRbu2YysKxnk2YQ8qLUpnYN7pxX
gBanO7uLpKlN0eCAxpMb593c8UrJ1TFxGBxeImkikAS6929P4oAlEmwBVyG9wWrhv0ZcbpyckVD8
cI0fAZfAwEjYF4gQSgF3+KM0DbgRRzVTQjSHkOvngIu0DWgjhWkTJ3TpGAnDrcL+o+BNjZoA7jeQ
MJaoPH8V1vmhsf3zfX/I3ubWdhPnaoisQZzofX1XoohaHUQFrwDokWAFMl/3NM1MW+rusIRpPi8n
cSTKGfM9yI5DbLhSLgdybuIKbRBf7FPCRKql2AGqM7M4cDRG1IK2myqoinXtbhc/zA9WXQphu4R6
J6Z9XlRQcGvrUVEiuoMWbL61mqIdnIMg6kWhBehmGyfu2kTLQsr9fUH7JS8zm32G4qZm0p1EE660
2DGNvYKABHivJUD8uIoa6nbb1vfmW6iKftA6qW9SeuMbUM2zdelt58pTGD2GAvScyryMpYwbnGbg
H1C4CfhoG5w0PhhukkC7AT8tg6OWwVPvwFUvQTJuwVmHsYSWDDrH2w1qdiCx17Cfa3o+TkFpRwKu
rRTzoQ5+OxVA7mV4T2rZs8F3H8B5//tfPUyYMAOUWdPE/L969SB/iHTnJnk9A0P7cJUfLx/JjIYd
KvUTSxHv0Y+XT9dhIMBWBQtM8ebnlw9gsYFcFd5RyKpqvJc/MMcCuwZOGO6tYZs0cn7j5dOVM30h
emJcBndWaArqh77QdpvUDlujwrpw3y+BWEgtwnrSC132zH6F5KFHPmGtGotspJdtDUgU8qOE3zDV
BetunLzR9/eI4LdvCvpLWmPfom+pjfK3sLt3Abb593bWMNFeBz9iBlY37MpInLZrN3OrkT2nXvXc
3qbOZnc/K6YgWidLxGMGwKLKYNvb+xZ6pcX9Cj+qTe9WMB0L9Ay7oKWEQimaIXRT4LbMOxngCbC+
iGSMYbZuxnHNW/cBDKDfZO9cAmvapTgmS6+VR+haUi+g3Fjfa06/EDy/uZc8roZ8/oZrPCbIKwzn
9UpvLHA2rgWR4dZG/NUDyRsjrigcn+bzfoqPHEzZiTbvJa0dRXsbCFK17IYUsEt3ZMx7e5RasGig
K8NhyFOu9YZRIgiKQEpOWzkjH9B6ADYiy89IpEp31Q2b0LZCT13z/5GvY54HGg7G+wI9+gA0stbH
DArUVm81UVC/3z9XQT6/XXUXXQ2NCumprJFPAWuCTgowrAAQbLSQ3fFQp+B61sOqy80D3RmEaLfs
ofutXIYWo257RRAOaqMUwAzWqN6I++FvU7jMdbhJfr3cdySM9bQmD1LFD6lE7cux4W0hvw1Ucd6f
gZhGe3oYe7oapIAR2hs+GSxeoWUg2eo0K6w+6kXbprhvk4YxsI4Oy2EUOq8jriUtn7AOMIqAieD+
mLYK8XZulm42euBagSsLXn7IsMf90AsHoyfSGlLpUfHEU6f8lsfTWPXVZD9va8unRaPYueEAkFjo
ZsUbD8mnY28t5gOgk7iSlzSsAR9pAEOSSJH6XAgwmRS/LKG6cBMMWlF4bos/OFpNYCg/Ml08Qlg1
8J40WsAZubfaSsDQmPhRBuNtj37Lq+WFL4KLSJUxfBFi5DbtFBNfrUTtyRgNLiB/gShwkTURyt9F
w2jrrokeinkXUaBM1aa+f6hhT7J/UF/VZt5feTE5gjxrIXwxRA8jNnsFa1jlMNRfTRRPm3AsxwnI
rb5xrx4ac7Q9hgfCdQh6IX9kS2lzouiMtKYThPwjst2Uy8bQdJH7EdTPWkOAKqy25JQ4kBSHmwps
lPwa3atCXIUY1EK7wqJBhBHudK9DMQ+4PuFzd+aWIHUqGhwdVE4KcGANdMCJzpuosj2nxN8EnpDQ
kGVB6AH/Ibd4FN7gJquqO1GATA4EyMZy7aDAexQOudJdQswlOSro6bJ9hLvOgUxRfUkBt0ZeMm/p
cW9pVY31YuerA6OUXtRkkidA2O/lBy2vL/f5eJe/6fu8nRYb11R3XrneYvILlObffujBTBPxnYp+
omxqv4w3O9PFl/HJeXdygR/nHeLahmybkGw+wq51TSXANWTFtIlZfj7vkEpET4JbkW1qgkfnHUqS
1CNNHVIQHYjfMg5HkPsk2jy6cZvj/mcchJYclJkWxVjAObY2dyg/e8aqBEiJNrbUkMm/EZW73WNU
5cxuk9APZ01tBqt+R8dSpgyiImBHkQHdRRTQMBRsLtMgDltFDa1HTEihz9Roig53tJN9PqWONwiY
yn2Mf2W6bmbTHlvdeVNtilbni9c1nS7ogbCLqrTTfoGD39o3bilujbe+1ZXkliaMM+j3e4rUAMSs
DJVuCF9nG1iuUvnSo9oshxa6i5gOL73UFjqM/Fp73OoOVkiPC8C8Sw9pbkqR9IsByNXo8pN133PD
3CWy3PJzca+PN/fSIwrbc7oLgDSe0dfmmbP67M6EUWR1N50MZIPDIxhdk+IWZb5JrS0By97c7xuH
ql4YAeNif4zgtx83bP6UTnhAwz52M34w0RqHZ2QwcYT1uYqd+st7CU0pkN7D/RCSCtaTOei8mRMO
q/qip7WwPYUNj7fKQRpH1DcMJcQqBgcxEA+Ro5flyFAifzeLAroy5RbJnaingFhejVMBQEVMoppU
CrDItwLFJ2AXKuIu+ezQshobfrsK4nFxN5skWEJsZD+m+CoDubvXXtZB6sdyQ358Xt69Gg+LqhWP
Z4gANAxMEhdu1IXwhwUGKMGR5Zn+6/O+fnCfLW8EZNJo8okckHozwYjxRhdWG68rGsW7tqTa/eVh
rJvPi0TDTtltRhqg8QeOSLC9BY4InBKZpy6GoSdVrc3TPH4wexle8i1Qr7N+qXlW6WgP/HLVEFpU
20YWzCYcOzEeCB5EbxRFDysqe8DqGsagyhF0A532tHwysBrhb+QbPDNsw4mahM1V1yakUUNCjkUX
MrrL4UXZ1F90C6PFrXDy1RJG3iWdiKNSmjcYhogj2nSiuEXpJeF7l4BqwjzSMYKP+2l7RJnPixYg
RytcpAk3IqhcLU7uRTfmwJUJgkj8e+BQ89JZP3FDqu1t8IKB7N3B99o3aNaPzB46Zk7a1md0lkF6
pHJQwavPdk4vrxKqnTbXPTyWzdR2dXc61VGpznqpo+i3mKMh3byf5WMJ75zSQqsIWMQqgEGk0Wrf
LJtm9rxG1VHp0GJHjY8TZ7vp1VZ3Me4hfCLZFk4ociiFG97dljcLWDwh8dbKNVCFpaqCplJgrsch
tGpzDRyIYvQ+I3VtyP/+POrdhkHFcFaBo0yR4e+bRoN0Wr5mJ9C6jxf4caTQ2oH5bMKM5Pg4SqEM
WJsKGQydKkmcY0cNI0UGXidpmEEcIeuA6XGX2EAYVD/QAv6NDIqu2MmJQrsK/4nvD/4hgzIWdJLx
B84CkGU0B9B7fwEGl48wponaRTaUPRslK3Q+qp0H7kHGGYZ8/OAXyB5Yz0hmQoJUqOkDxUGDtLAR
YSwO9do97GUbAp8FOZuq3I2FTQzOuKRDeSvVXOkWeoZ9Pzugjd+uhEBOPX5Q6xIUhMHcQwW1G3Xh
YLrGYNfFLgBjqQTl3FUgh4j1rOMnNM5WDpr+eyD7T1s3pv2C9gXisbFb4qi4u93BHcLMBzeq5cPS
enkqK7TWBqByqBcDQkOHtWney/IAwlElNH7UOtrcIKSmtIoPnZIotmntYIxUHq3opEcNAtsedCch
O8DrQcullYystwLoi7rmlWVbz6iioO7t44+wS3wpf66a7GFyp2jCK9iSmrGz4X2l+5GCsEiIGSDg
WoewG4qi1bVp91QGnaz+Ag6N3VaswQqDoPwOXL2sPumBsmxLcZOuSEU3GUWWWatU67ulfyMRtFJk
ojx6aKyrgcC4mdSqRf8kQ0K1nqLq0tzUs7HsPKK0i/iHhxcHXhn1fbfYEBW3NQRi105foq6/cJ6g
/iwMwlP2PbO3qvynGWF4fxX0M7BS9KIq15Y6mwcBPiQ7xaVoi6sBcBYrDAj5TQFxKTHyBSMGxVLF
jWp+P79TZo2NydlOCyvyFig5AJhRe+XDBgBNCJDG9GUW1wZwTdSQN+MQuM0S2I0M/GYDDGcLHAcx
SHcDPEcaQN6MAexspTbC/83ZrDdP22sgPfN4V9d7z1LsF7cpQqGe0H3U5/cYReKALHyozBbC8Ru0
cUq0YYrbzHJBsgF8WhHZdOe3UCrMBnz3GHknZEsl4GR0HOsb9GURmFc7eFOih1qz3PUIf8kATwHZ
MRCyC1F/8Ze3oOmVyKNNkhOH1ZqE6Tvw61BBsxUfKrGhRx51x9NEg3CDu8q2h3zNzsQkWYPfMsEU
EzCWMbfq4q8VGMM9lUJSOXI4R+lYh/p6096MeFNQnyQBArFer80bi/rUuNfT57yTTdG6oS+I+eSm
XVs0a639jYt5MsKZ0KhDJyXxEp0H8pQQNddOPuCeaABtnOWIrtumBx6tNcUk7oF0feGpYPnT7kFz
jKe5T6sia0AuVRHK27cMuAx0DJzNsKx5O3LZRWOmjmGI1F4XKvmnqwGhgza6gcBNH7mn2S29G6LI
/0bNU2oaKPDkZcu0fajYeL3SnW3RxNo9429sI1OJK+3Ss6WHCMOFqrUuCFwwFvVQIkfHKGvbZbMC
aVr0Yj/t7oNFzM2uLD5zW8St4jX214+oX/aLV3oc/H5EZ4E+x5bWzLqrWTBFiGSh1bkaooA+EXMb
GCLtK/Bs87pFkag+cSc0OJArqYJxdE/DAvBha1UX/2waMK5xzTxM+LNrXwAOwSeCS1z29xX7VWDj
msBI720cyRmLHgd5eenP/ShtIUfsLct+UXVD/A6AvQtZS+Q+JwLnSBP2MeXyMk+TuUWX5ttwz5WS
PjN8Z7RDWHKWSEARMtyFQ30DQYAvlMHnw9WYZs6iD5LkUKK7ssva2qwelXXowtmrRjqcNC2YdfNH
ejyUPTQHrgJdqn0bQd6nGfZnlbPeOvPhkEDUW/TXmHzqNJaAGVJuGQdvkIJhBy/If+nWu8VDpjqr
OUYD+bq10FGgsgdw9vIMpvfTIfNQzHkjzocQmd6Eb1RXYIoHGWxAR4ZmgnJ86CxGQmYaKRe0zzu1
GLORSX3vw/vw8SDOX2k3QlgARVmh8F74Q1h/6Jjf5U9vRtYr1039ISaZpzLVbLdvYSBNV0qjIGRf
rX3oZu6tWhA5YQmKEUMbOAFdabdsl9BAH8p5P1rgxO3SFsopoowtc8iF8juToI4+qjd/LbK+kHZD
UQfqyd32JsDtzVNo5q8DdmgmAawnB4+1oSaFT+xDRGgfPWSLJ/0BhS8HpnvkjJddaBdScYuZxs02
sG/SGbawQyZxe1dVDRWNZ8CIIXeVas56soesZHW4sRreG+FoZeHYAKJVDcymMbJS+OseSnP6i4Gz
qOlXuijdexFy2ws0TBS+OaTJ4mK4VWBLsh1vHldpne/Xgr+qjC305uLGNshnNxoOPmgG4XaOytK/
voggYigND26IFYpB/frvIz40lb5089cz8jlISB5f5EfUZyh4agH4kVXtHafzc+GcUsBXLOK7POSP
qA8yOUhF2YKrTYWc9P5H4ZxOFkxz0D1cVPq9urlxRqsD+wkBD0IZRDibH9cRtpIWr3N9lwdZJ7c3
Qo5jFY4TqQlHJ2bDMto5GTolTnnrG4dAisHXpM31oUchACovCcmhbqX1pQYdMxslt/hbkaRbAdap
ylv8shgR/YFmkesSDo8d08E8ymOXydFzG5vlDVtNeUe713Xj4aaxmZSvBtVrn+gww7BrjZihE8Fj
ONwBmLtHPQ6WAVp6YUOK7nGPyKcQFSr7aTEq1WFeTZSlMyMpFwzIyksMDYWc7mJn1YvOMkmgVDkH
89l4k2fTTH+V8cLE+0TiEBtnexyIkeYG8ZcesGwOe1mnv8JSkMvr6sZHt34xAgwuD8qSEiPxxYv1
BiX8dv0iYkDZ20L5UDvQQpDKb0EYhzuLH0IbZwNopYsHi0jprnZHmKYLQ1FD98yNVyDHAQInTTyt
cupNgDraoRVRJDzczp8Xy8YNzq1CPL+sm4EymQEl1mFioB5BRtpPq8HWwLtgux0pVVep3H6CzopP
BIijT0szegLcSSmlAbWeZkJKTKxUTe116wtRkrhOjp/QC0CqulnzX1+XIfbQh/sVFNC917wJPWMA
+McZkUR6CXtjfBihuu0jkDdJt3emICqHze28LdWcxuvzwbqblXTzCeC0p82qvdg2ySrdhf24NQK+
9lZ8B9W5MWt2wLdQv0xAfM2amxboAMTocHTcY2VVRBDnKX27pkI5d7ehvV/MxhD23VYWpCE1bgqz
UIR9Rl+v0b30yyKYcW8rA4atGigPSCPi98lZTSTdzu6oFICfdA5Zb7VdBEUZOhiGZD2MLIr2yl0k
nTzr60kr3fiLeYPKwoYNtS2qME8GAhiDOabSTsWkUwFPvNd83Ykr0OpZz1Lu5ncNzEfTwJRce0HX
Fq9Ng0hnYEtumPvk/cSyG3SdgwHq4gjyoySf4aplZm+gkRZuR3Mam7eYFQIhEywG5Aul42tpsM1B
I+grf7517yLQdaUn7K08swG+PTsEcS/c+R3lGWG7GoW0/qEhDxcPWU/k7wmSK2ZMyL3arxvzDLy7
NFbpDaHL4isVxZIyk32tRBYkG27bORRBo7cMR3rT8onOOwThSdJSbA8dgdVTVjpp1UB/VHIlwlVU
hTHWJqRr1ig5e4A0Ss7RFwKCkDoJl4vwNebHmlfe7dEx2Tf4SI2CSdKRKbRAYkfRx30DNmz1lhRj
Ik+Dx2m05l3OuBcCClQbmvMu52TohiNrtOzaqIsg64PDp7ghc+NAalw8zZ4SjklSKX2AaOpG8zh6
dxSLCNk9RkF3L57sgv22gVLysqHN+uoDR3mhefzS6mVRa9c2QP0/JE+HqsU5vqAnLW6lYJdJoC63
regBQe1g6U6kDKX93XO8HgNW74fGtr1EKiLQEl+/WWPu1ATGP3c9vflSOkMTmKRwJGRODJ+jHQtm
VEItH8HSDmZLVNsoOpV+NJ5XLf3hZXFHuPycWY2ibgfqS7K4XyGOrQYYcK0p4sWT/C4al8EVnMnf
lKE9vM0xUj62M/9LRET89N1l6AY6/p986HtR4/yFvtmcn7FA/7kqI3/VWf54sr/f17sH+68us5xy
2/kLFuuy+r8mIBJVnL6mYF9SwRGN9O8/lqT/xS3JVPDslLFhUr6O99M0/d1E/PoZRycG8afX+fsH
4MR/fZ/4HzAVxdSRAEOeT6O38SHa+SdzwiWPJgW/dySrZQgSsiaJstbHSZEoN5mUr9AoFNgcwqvr
mxRmhK+OOMgyjI8CPn8yKSYoKC5mqopi26yEkzkh7DJ10cV5n7IrnBOg8yI2pSwIOsr6+r19FYP/
6138Ly/Px4UiFB8JkmXm5l1m7uOk6H8BRSSQXle7UESnURJBs4ChHOUKf7ZQeGzmmNWC2jtl2Q8r
hSIvoBvZBFkjCyrBNa4UE4AdnAb6oaRBnzIp4PIEQQLAEdJXp1sK6lVswJKqoX8lOrDXOCm8PuIp
kMRSKfl/xkohOaXxLJMVmrSZT1cK6mPfnAHYh69zUkBu6rDchOeBIbE/fMLrI6M+yxxD85Hs09dH
49Chp3LlK0Wi+8NBAYDPZLFfPilA4cTbgekDgAQ2jY97ioo8pyXAeWJbudKVwvvDHktDitX+9RW/
8PQhZiNOYeMgQDuz0aoQPRmSRWSiWnqdk/JLR9I/OX3E4QL1FZ1WG73aM68P4s7AT/AiQWLwSieF
J2AhKxB4betTAlpqdTYNVTxWJbqup8GbruKLKiFxS4PY+hosXltASwoCi1xCG1K1DCGTcvGeQreZ
gIeKIyrCYPxP9hTAvwo7+1e5bxbSFR7Jv2Yn/MnrIwSOSRxkTmUREJ5MCvUBYF+ihIsu85WuFMq+
fK0cPiLS/JQjGVclhN05yiwioNPgjWMJvAIH0De4+FWuFNB7tlA7Yrmrn5H7cNqyzXLG2Dq64CcL
RWDnCVMAiIiE8CrfHpEP8j8UZcVS+Ro1XHgik/nY2ANQjxCL5WRSdGJdKNEiZXzXZLjChSImhahC
kTTIDPLXbe/CSVFFI4nzWJPo/5zOCbpfOhxyg339Gzrp2s4eJLqggSGyQamM7tInnD0oIKMfhsyE
DdPkTOhm6DKQWl5XOCbfIoCrmxTOY5J87DJ0nX7AJ0yKwfbJaQwWmSWhkWB+CPINUqyvE/LeW7zC
l+cYcfYZRw97NvuJTeeUluvpy2OYxPhMCuUbIrer3GV5echWKQ6yTiTtM+ZEyPgRuIm0GyGb02UC
O5JzSdSrr7W+hC2FiCR4yakL0vK+PJglZENsQ5PA93P4nL47xLG2wH/itshue5ULBeEh1goUBRgK
ipAl4gW/8OQRURlpHuEsG/dpMEuBHylHwKhstVfa3CCklFFwMkjb+NVnFN0Myo/kljovkXA1OXl9
hCiUBPGYYa81RhGuLlTd6M5Q+BA6NZevFHZXnRiEZhgbx2mEz05D1kmxnxDg29K8tvNYvD7Co0bE
+MqnTArFXjZSrsjUUN88WSls6apgAF314aPYhgwUCgE1qMSfsFIoqUF7MjjLWIXqmdOHAEb4llH6
fPckusYohXqHWCYm364mHuHi14cYhONFFMGJCZUzKwUgPgm0KKe8FyqvcFLYXgU7gi+XVS0aNBdP
isGqo4zHzAjZLFLgD+Es1T2ddgrSElS0r/RIJgW0aPgQVQh55k+YFKGHiKoypRIuaJ4eyawTAVt8
L1lfaWtdbLTUwDAXRGnD/oyVYoq6LMEbnjgCcHCyUmj4iO3EIiq61iNZRCcaljlQS20aVJ+wUpBZ
oGFKIZKqAeXp00n5cTJdaReZByCiIBXhrCCs/YQ5oY+D5iWaMJoGEuN0n6VGIQi74mfvrcMr3Gcp
Bv7C2/NPSta0jjmLgeQwOdCQP26zgtJMVUFAEa61bEDNTcj10O2m3S0KHxefPRw9SCWyXNho32VK
Pp49JvomBLqSbhii8X6VC4WyAa1SOrrktp+xzYqlpwmogfme8Z2sFIM2mMEXwE77Tlm8wkn5tQDo
n7w9pIHEbBzLeAQRjJxMCuBAthKb/uD1AlPY8yCUEloqdMM/ZZ8VUaw45ulukGaeTgozQuT8zm39
llVcXTpIPIvIM+EWEE7rMyBM6BtRgoRVQvGNPsfJpLBOAJJSbPnGCrnG18dGVEllsYjv9XNKTISr
rDtCNyIV4/T1AdZEOZuigvjp1W60v9DZ+pM9Bf05UbJWOHDP47oI6+hrfMMbXOfpA0CEoqHAiZAo
f8bpw/5J1QBpZVEYEJW8D0cyS4TzR/iRX22Y8tG++fIwBSYZWmls3gIUeRq7cVIz+ZxLwin0OpvI
ROPHNqcXTwqQH9YBsRnstTN5D6AmapXvuRZo0ut8eX7p6PRHOwrnMXgCInxOnzOoLhJnkAgySnni
BbrKSaFS/Qs7iD+ZFHZYW+gvEZsBCj0FRWpoudNyo/B5tZX8I9GnTwFFUp3hqJVQpQKUc6Y7CNDj
m4cwleGvqda1hW7Cz4OszQQGbPENvq/myxphUEAARAHahu5D6Hp69qDRgjwMwJVrBkXKnAGWxUsk
i+jz4n3WJKukosbEgOwQJasPBzIFA5OKHBEvWJjrXCkiO/l7ovef7ClAMEBEqTp0EKHqdjIpOqwI
3BdMoY/67X39R6/PP/jQXxQ7N54tX97JdbPX3Tsj5ytj7L9+4Hu/+PQCP1HG/uLOHX1aEO6+Xv8r
uUz893+mL6vZ2pvtsnT2nCnvHK+ffvqd8/U+2rc//+0xT2/gaLDvz/b9N4PZazpNhab7O7Ht2832
pis4ejfxtJx9uZtmGc6H04/cN/bPY1D5j/v7v/85vv2f3phfjfdPVQXf7/QMTfHndtKvxrmZLmdI
9uLUdmp39JFTcfFDOegbLJLFl14yO51B3nAwE6JbB5Hr+48veDIx2JdBDKPw+8W+MxVPEA4XP5iX
72ZnhzlqUFw8zCCe7qd4U03PTd8xU+risd6nb5y/npu8o/72xSONptlzPM1wtzt9LCqyRwyWiwf7
vgQfzszhx/LvxYMN4nT6pTddxMnpy/URHX3xYDeM8pSn5+bw+MS+eKRvMt/jM1vGx0blxWONpyvh
NcuuW8KIPlmMbLtHVNKLxxskqy/I722+jNnq05wN5OxCOQYsXz4qyz9fcbycWyfHOOCLx3p/sUfT
E3sEgTg+4hVePBJTeH7lH9NqLh7ndzy2Lj0v32dP+HmdLMWP1e+LH4ult5uJkzlNXk/XxccS6sXD
vT8Z6rxnHuyY8XPxSGz4X5w8PRdHfUR/XDzWt+8r+dI5Z8H2sTh/8XAP0/V6Wp7Ghx/b8hcPhMHJ
ikjg3J74Eap48Vg3OGIKE7s0P10bNDYA0IB3Vcltv//40qjtdyw4L32hf0d569KxeJczPKNO915S
vGMo2MXfWYd3TIQfyffv5HvwK6oaRzIdFw/17RU73aNOCigXD8XGuyag+vJw9rmOIYYXDzaezr50
T09/4CTHDfGLB/ornhIRwOn39YExdvFwKKF98aavp9EUTwbE6ScNiouHCnLmsB2XZ3TtxGBH4OGL
ByN6wntGbInLvxnvSInl4vF+y+3m0q3jdvpyrvDALB4zGC5+qnHOK9bhXyfBNmMd46guHsvJWYVf
2vnqdNF/YHpdPpRYHO3p5iQ9OuHFXDzUeCoyli9jDs0zz4VUEYgfofKEr/Mv5ZX+qqz+qn6Ds72I
pc491nE/7OLHEidKO50+nV0ZH8BkFw/2HtL/MxO3S9+s9+Ord7rvfuw8X/xM79UAcYKdCdoEq/6I
xXf5aP9QQ/7X03eukPqXytZpefW7pNi5P3ZcQRafeF6+TtP//D8AAAD//w==</cx:binary>
              </cx:geoCache>
            </cx:geography>
          </cx:layoutPr>
          <cx:valueColors>
            <cx:minColor>
              <a:schemeClr val="accent2">
                <a:lumMod val="40000"/>
                <a:lumOff val="60000"/>
              </a:schemeClr>
            </cx:minColor>
            <cx:midColor>
              <a:schemeClr val="accent5">
                <a:lumMod val="60000"/>
                <a:lumOff val="40000"/>
              </a:schemeClr>
            </cx:midColor>
            <cx:maxColor>
              <a:srgbClr val="FF4747"/>
            </cx:maxColor>
          </cx:valueColors>
          <cx:valueColorPositions>
            <cx:minPosition>
              <cx:percent val="0"/>
            </cx:minPosition>
            <cx:maxPosition>
              <cx:percent val="100"/>
            </cx:maxPosition>
          </cx:valueColorPositions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200" b="1">
              <a:latin typeface="TH SarabunPSK" panose="020B0500040200020003" pitchFamily="34" charset="-34"/>
              <a:ea typeface="TH SarabunPSK" panose="020B0500040200020003" pitchFamily="34" charset="-34"/>
              <a:cs typeface="TH SarabunPSK" panose="020B0500040200020003" pitchFamily="34" charset="-34"/>
            </a:defRPr>
          </a:pPr>
          <a:endParaRPr lang="en-US" sz="1200" b="1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x:txPr>
    </cx:legend>
  </cx:chart>
  <cx:spPr>
    <a:solidFill>
      <a:schemeClr val="accent4">
        <a:lumMod val="20000"/>
        <a:lumOff val="80000"/>
      </a:schemeClr>
    </a:solidFill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13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12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image" Target="../media/image4.png"/><Relationship Id="rId5" Type="http://schemas.openxmlformats.org/officeDocument/2006/relationships/chart" Target="../charts/chart5.xml"/><Relationship Id="rId10" Type="http://schemas.openxmlformats.org/officeDocument/2006/relationships/chart" Target="../charts/chart6.xml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219363</xdr:colOff>
      <xdr:row>27</xdr:row>
      <xdr:rowOff>80818</xdr:rowOff>
    </xdr:from>
    <xdr:to>
      <xdr:col>5</xdr:col>
      <xdr:colOff>1766454</xdr:colOff>
      <xdr:row>47</xdr:row>
      <xdr:rowOff>173180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D8409F-30B6-4977-B43C-30784459A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323270</xdr:colOff>
      <xdr:row>27</xdr:row>
      <xdr:rowOff>88138</xdr:rowOff>
    </xdr:from>
    <xdr:to>
      <xdr:col>14</xdr:col>
      <xdr:colOff>196271</xdr:colOff>
      <xdr:row>35</xdr:row>
      <xdr:rowOff>300181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ED09D5-D12E-41C4-BE1D-27A9A09095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295564</xdr:colOff>
      <xdr:row>48</xdr:row>
      <xdr:rowOff>344798</xdr:rowOff>
    </xdr:from>
    <xdr:to>
      <xdr:col>5</xdr:col>
      <xdr:colOff>731982</xdr:colOff>
      <xdr:row>58</xdr:row>
      <xdr:rowOff>29112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4806FBC-254B-414F-A976-36D2DC1EF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119088</xdr:colOff>
      <xdr:row>8</xdr:row>
      <xdr:rowOff>224721</xdr:rowOff>
    </xdr:from>
    <xdr:to>
      <xdr:col>10</xdr:col>
      <xdr:colOff>138137</xdr:colOff>
      <xdr:row>19</xdr:row>
      <xdr:rowOff>368503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1F8DB0-4124-4BB7-AF16-53F4AA668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232833</xdr:colOff>
      <xdr:row>16</xdr:row>
      <xdr:rowOff>302784</xdr:rowOff>
    </xdr:from>
    <xdr:to>
      <xdr:col>4</xdr:col>
      <xdr:colOff>680445</xdr:colOff>
      <xdr:row>25</xdr:row>
      <xdr:rowOff>282927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8A137862-10B6-4C94-921B-64C361513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1874377</xdr:colOff>
      <xdr:row>27</xdr:row>
      <xdr:rowOff>218403</xdr:rowOff>
    </xdr:from>
    <xdr:to>
      <xdr:col>9</xdr:col>
      <xdr:colOff>266699</xdr:colOff>
      <xdr:row>30</xdr:row>
      <xdr:rowOff>184727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6F762AF0-F812-4D5B-973C-A4DF8FDC648F}"/>
            </a:ext>
          </a:extLst>
        </xdr:cNvPr>
        <xdr:cNvGrpSpPr/>
      </xdr:nvGrpSpPr>
      <xdr:grpSpPr>
        <a:xfrm>
          <a:off x="4960477" y="8524203"/>
          <a:ext cx="2735722" cy="1137899"/>
          <a:chOff x="4558393" y="8558894"/>
          <a:chExt cx="2150441" cy="1143457"/>
        </a:xfrm>
      </xdr:grpSpPr>
      <xdr:sp macro="" textlink="">
        <xdr:nvSpPr>
          <xdr:cNvPr id="31" name="TextBox 30">
            <a:extLst>
              <a:ext uri="{FF2B5EF4-FFF2-40B4-BE49-F238E27FC236}">
                <a16:creationId xmlns:a16="http://schemas.microsoft.com/office/drawing/2014/main" id="{78497122-0E0F-4292-85D4-EB80B3A03C1A}"/>
              </a:ext>
            </a:extLst>
          </xdr:cNvPr>
          <xdr:cNvSpPr txBox="1"/>
        </xdr:nvSpPr>
        <xdr:spPr>
          <a:xfrm>
            <a:off x="4558393" y="8558894"/>
            <a:ext cx="2145796" cy="548425"/>
          </a:xfrm>
          <a:prstGeom prst="rect">
            <a:avLst/>
          </a:prstGeom>
          <a:solidFill>
            <a:schemeClr val="accent1">
              <a:lumMod val="7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h-TH" sz="2400" b="1">
                <a:solidFill>
                  <a:schemeClr val="bg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ร้อยละของผู้สูงอายุที่รับเบี้ยยังชีพ</a:t>
            </a:r>
          </a:p>
        </xdr:txBody>
      </xdr:sp>
      <xdr:sp macro="" textlink="เลือกรายเขต!I11">
        <xdr:nvSpPr>
          <xdr:cNvPr id="33" name="TextBox 32">
            <a:extLst>
              <a:ext uri="{FF2B5EF4-FFF2-40B4-BE49-F238E27FC236}">
                <a16:creationId xmlns:a16="http://schemas.microsoft.com/office/drawing/2014/main" id="{B7E3D50D-5A47-4077-9D6D-5DB77AFCBA32}"/>
              </a:ext>
            </a:extLst>
          </xdr:cNvPr>
          <xdr:cNvSpPr txBox="1"/>
        </xdr:nvSpPr>
        <xdr:spPr>
          <a:xfrm>
            <a:off x="4565911" y="9108652"/>
            <a:ext cx="2142923" cy="593699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D5B7EAAF-C307-4C01-AFFA-DB94AD72344A}" type="TxLink">
              <a:rPr lang="en-US" sz="3600" b="1" i="0" u="none" strike="noStrike">
                <a:solidFill>
                  <a:schemeClr val="tx1"/>
                </a:solidFill>
                <a:latin typeface="TH SarabunPSK"/>
                <a:ea typeface="Tahoma"/>
                <a:cs typeface="TH SarabunPSK"/>
              </a:rPr>
              <a:pPr algn="ctr"/>
              <a:t> 75.66 </a:t>
            </a:fld>
            <a:r>
              <a:rPr lang="en-US" sz="3600" b="1" i="0" u="none" strike="noStrike">
                <a:solidFill>
                  <a:schemeClr val="tx1"/>
                </a:solidFill>
                <a:latin typeface="TH SarabunPSK"/>
                <a:ea typeface="Tahoma"/>
                <a:cs typeface="TH SarabunPSK"/>
              </a:rPr>
              <a:t>%</a:t>
            </a:r>
            <a:endParaRPr lang="th-TH" sz="3600" b="1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5</xdr:col>
      <xdr:colOff>1109726</xdr:colOff>
      <xdr:row>50</xdr:row>
      <xdr:rowOff>212644</xdr:rowOff>
    </xdr:from>
    <xdr:to>
      <xdr:col>6</xdr:col>
      <xdr:colOff>508412</xdr:colOff>
      <xdr:row>55</xdr:row>
      <xdr:rowOff>158215</xdr:rowOff>
    </xdr:to>
    <xdr:grpSp>
      <xdr:nvGrpSpPr>
        <xdr:cNvPr id="48" name="กลุ่ม 47">
          <a:extLst>
            <a:ext uri="{FF2B5EF4-FFF2-40B4-BE49-F238E27FC236}">
              <a16:creationId xmlns:a16="http://schemas.microsoft.com/office/drawing/2014/main" id="{E1D93D6E-5D65-CC4F-B75F-0F267B7CAB4D}"/>
            </a:ext>
          </a:extLst>
        </xdr:cNvPr>
        <xdr:cNvGrpSpPr/>
      </xdr:nvGrpSpPr>
      <xdr:grpSpPr>
        <a:xfrm>
          <a:off x="4195826" y="17500519"/>
          <a:ext cx="1837086" cy="1898196"/>
          <a:chOff x="4411097" y="13162027"/>
          <a:chExt cx="2084184" cy="1850571"/>
        </a:xfrm>
      </xdr:grpSpPr>
      <xdr:sp macro="" textlink="">
        <xdr:nvSpPr>
          <xdr:cNvPr id="34" name="TextBox 33">
            <a:extLst>
              <a:ext uri="{FF2B5EF4-FFF2-40B4-BE49-F238E27FC236}">
                <a16:creationId xmlns:a16="http://schemas.microsoft.com/office/drawing/2014/main" id="{87D9B24A-C6AD-4546-8FE0-2D157C1EE9BB}"/>
              </a:ext>
            </a:extLst>
          </xdr:cNvPr>
          <xdr:cNvSpPr txBox="1"/>
        </xdr:nvSpPr>
        <xdr:spPr>
          <a:xfrm>
            <a:off x="4412776" y="13162027"/>
            <a:ext cx="2082505" cy="942670"/>
          </a:xfrm>
          <a:prstGeom prst="rect">
            <a:avLst/>
          </a:prstGeom>
          <a:solidFill>
            <a:schemeClr val="accent1">
              <a:lumMod val="7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th-TH" sz="2400" b="1">
                <a:solidFill>
                  <a:schemeClr val="bg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ร้อยละของผู้สูงอายุที่รับเบี้ยยังชีพผู้พิการ</a:t>
            </a:r>
          </a:p>
          <a:p>
            <a:pPr algn="ctr"/>
            <a:endParaRPr lang="th-TH" sz="2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เลือกรายเขต!I15">
        <xdr:nvSpPr>
          <xdr:cNvPr id="35" name="TextBox 34">
            <a:extLst>
              <a:ext uri="{FF2B5EF4-FFF2-40B4-BE49-F238E27FC236}">
                <a16:creationId xmlns:a16="http://schemas.microsoft.com/office/drawing/2014/main" id="{F2881B4D-103A-4DE5-BA21-A224BC808855}"/>
              </a:ext>
            </a:extLst>
          </xdr:cNvPr>
          <xdr:cNvSpPr txBox="1"/>
        </xdr:nvSpPr>
        <xdr:spPr>
          <a:xfrm>
            <a:off x="4411097" y="14108029"/>
            <a:ext cx="2083794" cy="904569"/>
          </a:xfrm>
          <a:prstGeom prst="rect">
            <a:avLst/>
          </a:prstGeom>
          <a:solidFill>
            <a:schemeClr val="accent2">
              <a:lumMod val="7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5C7ECB83-3458-4623-936C-1C0028E53DE5}" type="TxLink">
              <a:rPr lang="en-US" sz="4400" b="1" i="0" u="none" strike="noStrike">
                <a:solidFill>
                  <a:srgbClr val="000000"/>
                </a:solidFill>
                <a:latin typeface="TH SarabunPSK"/>
                <a:ea typeface="Tahoma"/>
                <a:cs typeface="TH SarabunPSK"/>
              </a:rPr>
              <a:pPr algn="ctr"/>
              <a:t> 3.39 </a:t>
            </a:fld>
            <a:r>
              <a:rPr lang="en-US" sz="4400" b="1" i="0" u="none" strike="noStrike">
                <a:solidFill>
                  <a:srgbClr val="000000"/>
                </a:solidFill>
                <a:latin typeface="TH SarabunPSK"/>
                <a:ea typeface="Tahoma"/>
                <a:cs typeface="TH SarabunPSK"/>
              </a:rPr>
              <a:t>%</a:t>
            </a:r>
            <a:endParaRPr lang="th-TH" sz="44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12</xdr:col>
      <xdr:colOff>118310</xdr:colOff>
      <xdr:row>23</xdr:row>
      <xdr:rowOff>135618</xdr:rowOff>
    </xdr:from>
    <xdr:to>
      <xdr:col>14</xdr:col>
      <xdr:colOff>270432</xdr:colOff>
      <xdr:row>25</xdr:row>
      <xdr:rowOff>201026</xdr:rowOff>
    </xdr:to>
    <xdr:grpSp>
      <xdr:nvGrpSpPr>
        <xdr:cNvPr id="16" name="Group 36">
          <a:extLst>
            <a:ext uri="{FF2B5EF4-FFF2-40B4-BE49-F238E27FC236}">
              <a16:creationId xmlns:a16="http://schemas.microsoft.com/office/drawing/2014/main" id="{CB794B16-BDE3-9545-966D-53CAED91C73C}"/>
            </a:ext>
          </a:extLst>
        </xdr:cNvPr>
        <xdr:cNvGrpSpPr/>
      </xdr:nvGrpSpPr>
      <xdr:grpSpPr>
        <a:xfrm>
          <a:off x="9319460" y="6879318"/>
          <a:ext cx="1599922" cy="846458"/>
          <a:chOff x="4537266" y="9027980"/>
          <a:chExt cx="2107357" cy="1194677"/>
        </a:xfrm>
      </xdr:grpSpPr>
      <xdr:sp macro="" textlink="">
        <xdr:nvSpPr>
          <xdr:cNvPr id="18" name="TextBox 30">
            <a:extLst>
              <a:ext uri="{FF2B5EF4-FFF2-40B4-BE49-F238E27FC236}">
                <a16:creationId xmlns:a16="http://schemas.microsoft.com/office/drawing/2014/main" id="{6A31FC91-9DC2-B345-8BD6-F7FC5914D324}"/>
              </a:ext>
            </a:extLst>
          </xdr:cNvPr>
          <xdr:cNvSpPr txBox="1"/>
        </xdr:nvSpPr>
        <xdr:spPr>
          <a:xfrm>
            <a:off x="4537266" y="9027980"/>
            <a:ext cx="2107357" cy="501814"/>
          </a:xfrm>
          <a:prstGeom prst="rect">
            <a:avLst/>
          </a:prstGeom>
          <a:solidFill>
            <a:schemeClr val="tx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h-TH" sz="2400" b="1">
                <a:solidFill>
                  <a:schemeClr val="bg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อัตราการเสียชีวิต</a:t>
            </a:r>
          </a:p>
        </xdr:txBody>
      </xdr:sp>
      <xdr:sp macro="" textlink="เลือกรายเขต!C7">
        <xdr:nvSpPr>
          <xdr:cNvPr id="20" name="TextBox 32">
            <a:extLst>
              <a:ext uri="{FF2B5EF4-FFF2-40B4-BE49-F238E27FC236}">
                <a16:creationId xmlns:a16="http://schemas.microsoft.com/office/drawing/2014/main" id="{7BD54CEF-FF75-A347-AB00-5B4852E96496}"/>
              </a:ext>
            </a:extLst>
          </xdr:cNvPr>
          <xdr:cNvSpPr txBox="1"/>
        </xdr:nvSpPr>
        <xdr:spPr>
          <a:xfrm>
            <a:off x="4544786" y="9525178"/>
            <a:ext cx="2091541" cy="697479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8DF8FBCF-B5AB-D241-B1A8-30C5538E7F82}" type="TxLink">
              <a:rPr lang="en-US" sz="3200" b="1" i="0" u="none" strike="noStrike">
                <a:solidFill>
                  <a:srgbClr val="000000"/>
                </a:solidFill>
                <a:latin typeface="TH SarabunPSK"/>
                <a:ea typeface="Tahoma"/>
                <a:cs typeface="TH SarabunPSK"/>
              </a:rPr>
              <a:pPr algn="ctr"/>
              <a:t>2.26</a:t>
            </a:fld>
            <a:r>
              <a:rPr lang="en-US" sz="3200" b="1" i="0" u="none" strike="noStrike">
                <a:solidFill>
                  <a:srgbClr val="000000"/>
                </a:solidFill>
                <a:latin typeface="TH SarabunPSK"/>
                <a:ea typeface="Tahoma"/>
                <a:cs typeface="TH SarabunPSK"/>
              </a:rPr>
              <a:t> %</a:t>
            </a:r>
            <a:endParaRPr lang="th-TH" sz="3200" b="1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50799</xdr:colOff>
      <xdr:row>23</xdr:row>
      <xdr:rowOff>133957</xdr:rowOff>
    </xdr:from>
    <xdr:to>
      <xdr:col>12</xdr:col>
      <xdr:colOff>88676</xdr:colOff>
      <xdr:row>25</xdr:row>
      <xdr:rowOff>203806</xdr:rowOff>
    </xdr:to>
    <xdr:grpSp>
      <xdr:nvGrpSpPr>
        <xdr:cNvPr id="21" name="Group 36">
          <a:extLst>
            <a:ext uri="{FF2B5EF4-FFF2-40B4-BE49-F238E27FC236}">
              <a16:creationId xmlns:a16="http://schemas.microsoft.com/office/drawing/2014/main" id="{EF3E27E9-FAA7-9444-9CBF-6AC208607194}"/>
            </a:ext>
          </a:extLst>
        </xdr:cNvPr>
        <xdr:cNvGrpSpPr/>
      </xdr:nvGrpSpPr>
      <xdr:grpSpPr>
        <a:xfrm>
          <a:off x="7480299" y="6877657"/>
          <a:ext cx="1809527" cy="850899"/>
          <a:chOff x="4254028" y="9027980"/>
          <a:chExt cx="2390595" cy="975714"/>
        </a:xfrm>
      </xdr:grpSpPr>
      <xdr:sp macro="" textlink="">
        <xdr:nvSpPr>
          <xdr:cNvPr id="22" name="TextBox 30">
            <a:extLst>
              <a:ext uri="{FF2B5EF4-FFF2-40B4-BE49-F238E27FC236}">
                <a16:creationId xmlns:a16="http://schemas.microsoft.com/office/drawing/2014/main" id="{741C31CD-ABB3-E24E-B599-3163B7B78D10}"/>
              </a:ext>
            </a:extLst>
          </xdr:cNvPr>
          <xdr:cNvSpPr txBox="1"/>
        </xdr:nvSpPr>
        <xdr:spPr>
          <a:xfrm>
            <a:off x="4254028" y="9027980"/>
            <a:ext cx="2390595" cy="431996"/>
          </a:xfrm>
          <a:prstGeom prst="rect">
            <a:avLst/>
          </a:prstGeom>
          <a:solidFill>
            <a:schemeClr val="tx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h-TH" sz="2400" b="1">
                <a:solidFill>
                  <a:schemeClr val="bg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จำนวนการเสียชีวิต</a:t>
            </a:r>
          </a:p>
        </xdr:txBody>
      </xdr:sp>
      <xdr:sp macro="" textlink="เลือกรายเขต!C6">
        <xdr:nvSpPr>
          <xdr:cNvPr id="24" name="TextBox 32">
            <a:extLst>
              <a:ext uri="{FF2B5EF4-FFF2-40B4-BE49-F238E27FC236}">
                <a16:creationId xmlns:a16="http://schemas.microsoft.com/office/drawing/2014/main" id="{1E113A05-6FBF-2E48-AEB1-3B7C10935294}"/>
              </a:ext>
            </a:extLst>
          </xdr:cNvPr>
          <xdr:cNvSpPr txBox="1"/>
        </xdr:nvSpPr>
        <xdr:spPr>
          <a:xfrm>
            <a:off x="4268788" y="9440339"/>
            <a:ext cx="2367539" cy="563355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A25AF41F-468F-7841-A9DF-B0E06F025766}" type="TxLink">
              <a:rPr lang="en-US" sz="3200" b="1" i="0" u="none" strike="noStrike">
                <a:solidFill>
                  <a:srgbClr val="000000"/>
                </a:solidFill>
                <a:latin typeface="TH SarabunPSK"/>
                <a:ea typeface="Tahoma"/>
                <a:cs typeface="TH SarabunPSK"/>
              </a:rPr>
              <a:pPr algn="ctr"/>
              <a:t> 315 </a:t>
            </a:fld>
            <a:r>
              <a:rPr lang="th-TH" sz="3200" b="1" i="0" u="none" strike="noStrike">
                <a:solidFill>
                  <a:srgbClr val="000000"/>
                </a:solidFill>
                <a:latin typeface="TH SarabunPSK"/>
                <a:ea typeface="Tahoma"/>
                <a:cs typeface="TH SarabunPSK"/>
              </a:rPr>
              <a:t>คน</a:t>
            </a:r>
            <a:endParaRPr lang="th-TH" sz="3200" b="1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5</xdr:col>
      <xdr:colOff>108259</xdr:colOff>
      <xdr:row>3</xdr:row>
      <xdr:rowOff>167629</xdr:rowOff>
    </xdr:from>
    <xdr:to>
      <xdr:col>6</xdr:col>
      <xdr:colOff>85802</xdr:colOff>
      <xdr:row>8</xdr:row>
      <xdr:rowOff>69850</xdr:rowOff>
    </xdr:to>
    <xdr:grpSp>
      <xdr:nvGrpSpPr>
        <xdr:cNvPr id="25" name="Group 36">
          <a:extLst>
            <a:ext uri="{FF2B5EF4-FFF2-40B4-BE49-F238E27FC236}">
              <a16:creationId xmlns:a16="http://schemas.microsoft.com/office/drawing/2014/main" id="{474FF05E-81CF-8941-9F52-69E3169508EA}"/>
            </a:ext>
          </a:extLst>
        </xdr:cNvPr>
        <xdr:cNvGrpSpPr/>
      </xdr:nvGrpSpPr>
      <xdr:grpSpPr>
        <a:xfrm>
          <a:off x="3194359" y="1215379"/>
          <a:ext cx="2415943" cy="1035696"/>
          <a:chOff x="4537266" y="9027980"/>
          <a:chExt cx="2107357" cy="1436088"/>
        </a:xfrm>
      </xdr:grpSpPr>
      <xdr:sp macro="" textlink="">
        <xdr:nvSpPr>
          <xdr:cNvPr id="26" name="TextBox 30">
            <a:extLst>
              <a:ext uri="{FF2B5EF4-FFF2-40B4-BE49-F238E27FC236}">
                <a16:creationId xmlns:a16="http://schemas.microsoft.com/office/drawing/2014/main" id="{59714682-D898-7D49-844A-2CD4F7FBC17E}"/>
              </a:ext>
            </a:extLst>
          </xdr:cNvPr>
          <xdr:cNvSpPr txBox="1"/>
        </xdr:nvSpPr>
        <xdr:spPr>
          <a:xfrm>
            <a:off x="4537266" y="9027980"/>
            <a:ext cx="2107357" cy="501814"/>
          </a:xfrm>
          <a:prstGeom prst="rect">
            <a:avLst/>
          </a:prstGeom>
          <a:solidFill>
            <a:srgbClr val="FF00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h-TH" sz="2400" b="1">
                <a:solidFill>
                  <a:schemeClr val="bg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จำนวนผู้สูงอายุ</a:t>
            </a:r>
          </a:p>
        </xdr:txBody>
      </xdr:sp>
      <xdr:sp macro="" textlink="เลือกรายเขต!C4">
        <xdr:nvSpPr>
          <xdr:cNvPr id="27" name="TextBox 32">
            <a:extLst>
              <a:ext uri="{FF2B5EF4-FFF2-40B4-BE49-F238E27FC236}">
                <a16:creationId xmlns:a16="http://schemas.microsoft.com/office/drawing/2014/main" id="{FEB2D67C-2581-0240-855D-9C2153A46BD2}"/>
              </a:ext>
            </a:extLst>
          </xdr:cNvPr>
          <xdr:cNvSpPr txBox="1"/>
        </xdr:nvSpPr>
        <xdr:spPr>
          <a:xfrm>
            <a:off x="4544786" y="9525176"/>
            <a:ext cx="2091541" cy="938892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B3C4722-AA3A-9443-AD84-77F38742ED71}" type="TxLink">
              <a:rPr lang="en-US" sz="4400" b="1" i="0" u="none" strike="noStrike">
                <a:solidFill>
                  <a:srgbClr val="000000"/>
                </a:solidFill>
                <a:latin typeface="TH SarabunPSK"/>
                <a:ea typeface="Tahoma"/>
                <a:cs typeface="TH SarabunPSK"/>
              </a:rPr>
              <a:pPr algn="ctr"/>
              <a:t> 13,912 </a:t>
            </a:fld>
            <a:r>
              <a:rPr lang="th-TH" sz="4400" b="1" i="0" u="none" strike="noStrike">
                <a:solidFill>
                  <a:srgbClr val="000000"/>
                </a:solidFill>
                <a:latin typeface="TH SarabunPSK"/>
                <a:ea typeface="Tahoma"/>
                <a:cs typeface="TH SarabunPSK"/>
              </a:rPr>
              <a:t>คน</a:t>
            </a:r>
            <a:endParaRPr lang="th-TH" sz="4400" b="1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6</xdr:col>
      <xdr:colOff>211668</xdr:colOff>
      <xdr:row>3</xdr:row>
      <xdr:rowOff>162983</xdr:rowOff>
    </xdr:from>
    <xdr:to>
      <xdr:col>10</xdr:col>
      <xdr:colOff>141818</xdr:colOff>
      <xdr:row>8</xdr:row>
      <xdr:rowOff>69850</xdr:rowOff>
    </xdr:to>
    <xdr:grpSp>
      <xdr:nvGrpSpPr>
        <xdr:cNvPr id="28" name="Group 36">
          <a:extLst>
            <a:ext uri="{FF2B5EF4-FFF2-40B4-BE49-F238E27FC236}">
              <a16:creationId xmlns:a16="http://schemas.microsoft.com/office/drawing/2014/main" id="{D3ED12AE-B2EB-1F49-AC58-3AA2E69A60D4}"/>
            </a:ext>
          </a:extLst>
        </xdr:cNvPr>
        <xdr:cNvGrpSpPr/>
      </xdr:nvGrpSpPr>
      <xdr:grpSpPr>
        <a:xfrm>
          <a:off x="5736168" y="1210733"/>
          <a:ext cx="2425700" cy="1040342"/>
          <a:chOff x="4537266" y="9027980"/>
          <a:chExt cx="2107357" cy="1436088"/>
        </a:xfrm>
      </xdr:grpSpPr>
      <xdr:sp macro="" textlink="">
        <xdr:nvSpPr>
          <xdr:cNvPr id="29" name="TextBox 30">
            <a:extLst>
              <a:ext uri="{FF2B5EF4-FFF2-40B4-BE49-F238E27FC236}">
                <a16:creationId xmlns:a16="http://schemas.microsoft.com/office/drawing/2014/main" id="{8E3B4924-5ECF-2948-A10D-0610EC7C600A}"/>
              </a:ext>
            </a:extLst>
          </xdr:cNvPr>
          <xdr:cNvSpPr txBox="1"/>
        </xdr:nvSpPr>
        <xdr:spPr>
          <a:xfrm>
            <a:off x="4537266" y="9027980"/>
            <a:ext cx="2107357" cy="501814"/>
          </a:xfrm>
          <a:prstGeom prst="rect">
            <a:avLst/>
          </a:prstGeom>
          <a:solidFill>
            <a:srgbClr val="FF00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h-TH" sz="2400" b="1">
                <a:solidFill>
                  <a:schemeClr val="bg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อัตราผู้สูงอายุ</a:t>
            </a:r>
          </a:p>
        </xdr:txBody>
      </xdr:sp>
      <xdr:sp macro="" textlink="">
        <xdr:nvSpPr>
          <xdr:cNvPr id="30" name="TextBox 32">
            <a:extLst>
              <a:ext uri="{FF2B5EF4-FFF2-40B4-BE49-F238E27FC236}">
                <a16:creationId xmlns:a16="http://schemas.microsoft.com/office/drawing/2014/main" id="{0D5B0309-96DC-6A48-B863-E5C40BB35905}"/>
              </a:ext>
            </a:extLst>
          </xdr:cNvPr>
          <xdr:cNvSpPr txBox="1"/>
        </xdr:nvSpPr>
        <xdr:spPr>
          <a:xfrm>
            <a:off x="4544786" y="9525176"/>
            <a:ext cx="2091541" cy="938892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lang="en-US" sz="4400" b="1" i="0" u="none" strike="noStrike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</xdr:grpSp>
    <xdr:clientData/>
  </xdr:twoCellAnchor>
  <xdr:twoCellAnchor>
    <xdr:from>
      <xdr:col>8</xdr:col>
      <xdr:colOff>553503</xdr:colOff>
      <xdr:row>20</xdr:row>
      <xdr:rowOff>165727</xdr:rowOff>
    </xdr:from>
    <xdr:to>
      <xdr:col>14</xdr:col>
      <xdr:colOff>249246</xdr:colOff>
      <xdr:row>22</xdr:row>
      <xdr:rowOff>291896</xdr:rowOff>
    </xdr:to>
    <xdr:grpSp>
      <xdr:nvGrpSpPr>
        <xdr:cNvPr id="32" name="Group 36">
          <a:extLst>
            <a:ext uri="{FF2B5EF4-FFF2-40B4-BE49-F238E27FC236}">
              <a16:creationId xmlns:a16="http://schemas.microsoft.com/office/drawing/2014/main" id="{4FA93EB3-54C2-6749-9D54-B3E78C316A99}"/>
            </a:ext>
          </a:extLst>
        </xdr:cNvPr>
        <xdr:cNvGrpSpPr/>
      </xdr:nvGrpSpPr>
      <xdr:grpSpPr>
        <a:xfrm>
          <a:off x="7392453" y="5737852"/>
          <a:ext cx="3505743" cy="907219"/>
          <a:chOff x="4537266" y="9027980"/>
          <a:chExt cx="2107357" cy="1220504"/>
        </a:xfrm>
      </xdr:grpSpPr>
      <xdr:sp macro="" textlink="เลือกรายเขต!B5">
        <xdr:nvSpPr>
          <xdr:cNvPr id="36" name="TextBox 30">
            <a:extLst>
              <a:ext uri="{FF2B5EF4-FFF2-40B4-BE49-F238E27FC236}">
                <a16:creationId xmlns:a16="http://schemas.microsoft.com/office/drawing/2014/main" id="{232968EC-D459-7943-9D1A-7F473E6F55AC}"/>
              </a:ext>
            </a:extLst>
          </xdr:cNvPr>
          <xdr:cNvSpPr txBox="1"/>
        </xdr:nvSpPr>
        <xdr:spPr>
          <a:xfrm>
            <a:off x="4537266" y="9027980"/>
            <a:ext cx="2107357" cy="501814"/>
          </a:xfrm>
          <a:prstGeom prst="rect">
            <a:avLst/>
          </a:prstGeom>
          <a:solidFill>
            <a:schemeClr val="accent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7C4FB2A-525C-4CF2-9EC7-9F3F9215578A}" type="TxLink">
              <a:rPr lang="th-TH" sz="1800" b="1" i="0" u="none" strike="noStrike">
                <a:solidFill>
                  <a:srgbClr val="000000"/>
                </a:solidFill>
                <a:latin typeface="TH SarabunPSK"/>
                <a:cs typeface="TH SarabunPSK"/>
              </a:rPr>
              <a:pPr algn="ctr"/>
              <a:t>จำนวนผู้เตรียมเข้าสู่วัยสูงอายุ (56 - 59 ปี)</a:t>
            </a:fld>
            <a:endPara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เลือกรายเขต!C5">
        <xdr:nvSpPr>
          <xdr:cNvPr id="38" name="TextBox 32">
            <a:extLst>
              <a:ext uri="{FF2B5EF4-FFF2-40B4-BE49-F238E27FC236}">
                <a16:creationId xmlns:a16="http://schemas.microsoft.com/office/drawing/2014/main" id="{625B98E6-FA14-FF46-93FC-B5F2C30C2169}"/>
              </a:ext>
            </a:extLst>
          </xdr:cNvPr>
          <xdr:cNvSpPr txBox="1"/>
        </xdr:nvSpPr>
        <xdr:spPr>
          <a:xfrm>
            <a:off x="4544786" y="9525176"/>
            <a:ext cx="2099837" cy="723308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B1E88A8-294E-CB46-8E30-6DD44084E49A}" type="TxLink">
              <a:rPr lang="en-US" sz="4400" b="0" i="0" u="none" strike="noStrike">
                <a:solidFill>
                  <a:srgbClr val="000000"/>
                </a:solidFill>
                <a:latin typeface="TH SarabunPSK"/>
                <a:cs typeface="TH SarabunPSK"/>
              </a:rPr>
              <a:pPr algn="ctr"/>
              <a:t> 2,792 </a:t>
            </a:fld>
            <a:r>
              <a:rPr lang="en-US" sz="4400" b="0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</a:t>
            </a:r>
            <a:r>
              <a:rPr lang="th-TH" sz="4400" b="0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คน</a:t>
            </a:r>
            <a:endParaRPr lang="en-US" sz="4400" b="1" i="0" u="none" strike="noStrike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</xdr:grpSp>
    <xdr:clientData/>
  </xdr:twoCellAnchor>
  <xdr:twoCellAnchor>
    <xdr:from>
      <xdr:col>5</xdr:col>
      <xdr:colOff>1881908</xdr:colOff>
      <xdr:row>31</xdr:row>
      <xdr:rowOff>184384</xdr:rowOff>
    </xdr:from>
    <xdr:to>
      <xdr:col>9</xdr:col>
      <xdr:colOff>196273</xdr:colOff>
      <xdr:row>35</xdr:row>
      <xdr:rowOff>154708</xdr:rowOff>
    </xdr:to>
    <xdr:grpSp>
      <xdr:nvGrpSpPr>
        <xdr:cNvPr id="54" name="กลุ่ม 53">
          <a:extLst>
            <a:ext uri="{FF2B5EF4-FFF2-40B4-BE49-F238E27FC236}">
              <a16:creationId xmlns:a16="http://schemas.microsoft.com/office/drawing/2014/main" id="{02E1FB95-3EA9-1F4D-8C04-6DD7DCA5CF7A}"/>
            </a:ext>
          </a:extLst>
        </xdr:cNvPr>
        <xdr:cNvGrpSpPr/>
      </xdr:nvGrpSpPr>
      <xdr:grpSpPr>
        <a:xfrm>
          <a:off x="4968008" y="10052284"/>
          <a:ext cx="2657765" cy="1532424"/>
          <a:chOff x="9040974" y="8647204"/>
          <a:chExt cx="3967184" cy="1494324"/>
        </a:xfrm>
      </xdr:grpSpPr>
      <xdr:sp macro="" textlink="">
        <xdr:nvSpPr>
          <xdr:cNvPr id="3" name="กล่องข้อความ 2">
            <a:extLst>
              <a:ext uri="{FF2B5EF4-FFF2-40B4-BE49-F238E27FC236}">
                <a16:creationId xmlns:a16="http://schemas.microsoft.com/office/drawing/2014/main" id="{ADC0C790-79AF-1C4A-BD26-17EFA6DA4998}"/>
              </a:ext>
            </a:extLst>
          </xdr:cNvPr>
          <xdr:cNvSpPr txBox="1"/>
        </xdr:nvSpPr>
        <xdr:spPr>
          <a:xfrm>
            <a:off x="9040974" y="8647204"/>
            <a:ext cx="3967184" cy="1494324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100"/>
          </a:p>
        </xdr:txBody>
      </xdr:sp>
      <xdr:sp macro="" textlink="เลือกรายเขต!E11">
        <xdr:nvSpPr>
          <xdr:cNvPr id="7" name="กล่องข้อความ 6">
            <a:extLst>
              <a:ext uri="{FF2B5EF4-FFF2-40B4-BE49-F238E27FC236}">
                <a16:creationId xmlns:a16="http://schemas.microsoft.com/office/drawing/2014/main" id="{6E24BD6A-3730-8845-A816-879278DF924C}"/>
              </a:ext>
            </a:extLst>
          </xdr:cNvPr>
          <xdr:cNvSpPr txBox="1"/>
        </xdr:nvSpPr>
        <xdr:spPr>
          <a:xfrm>
            <a:off x="9179902" y="9458710"/>
            <a:ext cx="1765190" cy="51133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3642E9DC-2602-6F47-8132-6949EAFA2078}" type="TxLink">
              <a:rPr lang="en-US" sz="3200" b="1" i="0" u="none" strike="noStrike">
                <a:solidFill>
                  <a:srgbClr val="000000"/>
                </a:solidFill>
                <a:latin typeface="TH SarabunPSK"/>
                <a:cs typeface="TH SarabunPSK"/>
              </a:rPr>
              <a:pPr algn="ctr"/>
              <a:t> 4,218 </a:t>
            </a:fld>
            <a:endParaRPr lang="th-TH" sz="3200" b="1"/>
          </a:p>
        </xdr:txBody>
      </xdr:sp>
      <xdr:sp macro="" textlink="เลือกรายเขต!G11">
        <xdr:nvSpPr>
          <xdr:cNvPr id="39" name="กล่องข้อความ 38">
            <a:extLst>
              <a:ext uri="{FF2B5EF4-FFF2-40B4-BE49-F238E27FC236}">
                <a16:creationId xmlns:a16="http://schemas.microsoft.com/office/drawing/2014/main" id="{84755788-E036-1A4F-9EA3-9BE03F771090}"/>
              </a:ext>
            </a:extLst>
          </xdr:cNvPr>
          <xdr:cNvSpPr txBox="1"/>
        </xdr:nvSpPr>
        <xdr:spPr>
          <a:xfrm>
            <a:off x="11001354" y="9459770"/>
            <a:ext cx="1871829" cy="51550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A98E4243-3298-4148-BAA8-AFE23B410FE5}" type="TxLink">
              <a:rPr lang="en-US" sz="3200" b="1" i="0" u="none" strike="noStrike">
                <a:solidFill>
                  <a:srgbClr val="000000"/>
                </a:solidFill>
                <a:latin typeface="TH SarabunPSK"/>
                <a:cs typeface="TH SarabunPSK"/>
              </a:rPr>
              <a:pPr algn="ctr"/>
              <a:t> 6,308 </a:t>
            </a:fld>
            <a:endParaRPr lang="th-TH" sz="3200" b="1"/>
          </a:p>
        </xdr:txBody>
      </xdr:sp>
    </xdr:grpSp>
    <xdr:clientData/>
  </xdr:twoCellAnchor>
  <xdr:twoCellAnchor>
    <xdr:from>
      <xdr:col>10</xdr:col>
      <xdr:colOff>498928</xdr:colOff>
      <xdr:row>48</xdr:row>
      <xdr:rowOff>355599</xdr:rowOff>
    </xdr:from>
    <xdr:to>
      <xdr:col>13</xdr:col>
      <xdr:colOff>606136</xdr:colOff>
      <xdr:row>57</xdr:row>
      <xdr:rowOff>234370</xdr:rowOff>
    </xdr:to>
    <xdr:grpSp>
      <xdr:nvGrpSpPr>
        <xdr:cNvPr id="15" name="กลุ่ม 14">
          <a:extLst>
            <a:ext uri="{FF2B5EF4-FFF2-40B4-BE49-F238E27FC236}">
              <a16:creationId xmlns:a16="http://schemas.microsoft.com/office/drawing/2014/main" id="{DA0C4739-92E9-774E-9F63-646A222D08A7}"/>
            </a:ext>
          </a:extLst>
        </xdr:cNvPr>
        <xdr:cNvGrpSpPr/>
      </xdr:nvGrpSpPr>
      <xdr:grpSpPr>
        <a:xfrm>
          <a:off x="8518978" y="16862424"/>
          <a:ext cx="1897908" cy="3393496"/>
          <a:chOff x="10150929" y="12364356"/>
          <a:chExt cx="2225523" cy="3513666"/>
        </a:xfrm>
      </xdr:grpSpPr>
      <xdr:sp macro="" textlink="">
        <xdr:nvSpPr>
          <xdr:cNvPr id="42" name="กล่องข้อความ 41">
            <a:extLst>
              <a:ext uri="{FF2B5EF4-FFF2-40B4-BE49-F238E27FC236}">
                <a16:creationId xmlns:a16="http://schemas.microsoft.com/office/drawing/2014/main" id="{071300A8-0720-5A4C-89DB-C92F1003005C}"/>
              </a:ext>
            </a:extLst>
          </xdr:cNvPr>
          <xdr:cNvSpPr txBox="1"/>
        </xdr:nvSpPr>
        <xdr:spPr>
          <a:xfrm>
            <a:off x="10150929" y="12364356"/>
            <a:ext cx="2225523" cy="3513666"/>
          </a:xfrm>
          <a:prstGeom prst="rect">
            <a:avLst/>
          </a:prstGeom>
          <a:solidFill>
            <a:schemeClr val="accent2">
              <a:lumMod val="7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100"/>
          </a:p>
        </xdr:txBody>
      </xdr:sp>
      <xdr:sp macro="" textlink="">
        <xdr:nvSpPr>
          <xdr:cNvPr id="43" name="Round Same Side Corner Rectangle 8">
            <a:extLst>
              <a:ext uri="{FF2B5EF4-FFF2-40B4-BE49-F238E27FC236}">
                <a16:creationId xmlns:a16="http://schemas.microsoft.com/office/drawing/2014/main" id="{D2096C6E-3171-5A4E-80EA-EFDDEBFF653A}"/>
              </a:ext>
            </a:extLst>
          </xdr:cNvPr>
          <xdr:cNvSpPr/>
        </xdr:nvSpPr>
        <xdr:spPr>
          <a:xfrm>
            <a:off x="11129131" y="12491357"/>
            <a:ext cx="343201" cy="824009"/>
          </a:xfrm>
          <a:custGeom>
            <a:avLst/>
            <a:gdLst>
              <a:gd name="connsiteX0" fmla="*/ 280204 w 1489775"/>
              <a:gd name="connsiteY0" fmla="*/ 750754 h 3923699"/>
              <a:gd name="connsiteX1" fmla="*/ 1209570 w 1489775"/>
              <a:gd name="connsiteY1" fmla="*/ 750754 h 3923699"/>
              <a:gd name="connsiteX2" fmla="*/ 1489774 w 1489775"/>
              <a:gd name="connsiteY2" fmla="*/ 1030958 h 3923699"/>
              <a:gd name="connsiteX3" fmla="*/ 1489774 w 1489775"/>
              <a:gd name="connsiteY3" fmla="*/ 1293518 h 3923699"/>
              <a:gd name="connsiteX4" fmla="*/ 1489775 w 1489775"/>
              <a:gd name="connsiteY4" fmla="*/ 1293518 h 3923699"/>
              <a:gd name="connsiteX5" fmla="*/ 1489775 w 1489775"/>
              <a:gd name="connsiteY5" fmla="*/ 2063902 h 3923699"/>
              <a:gd name="connsiteX6" fmla="*/ 1345759 w 1489775"/>
              <a:gd name="connsiteY6" fmla="*/ 2207918 h 3923699"/>
              <a:gd name="connsiteX7" fmla="*/ 1201743 w 1489775"/>
              <a:gd name="connsiteY7" fmla="*/ 2063902 h 3923699"/>
              <a:gd name="connsiteX8" fmla="*/ 1201743 w 1489775"/>
              <a:gd name="connsiteY8" fmla="*/ 1390678 h 3923699"/>
              <a:gd name="connsiteX9" fmla="*/ 1158887 w 1489775"/>
              <a:gd name="connsiteY9" fmla="*/ 1390678 h 3923699"/>
              <a:gd name="connsiteX10" fmla="*/ 1158887 w 1489775"/>
              <a:gd name="connsiteY10" fmla="*/ 2305078 h 3923699"/>
              <a:gd name="connsiteX11" fmla="*/ 1151853 w 1489775"/>
              <a:gd name="connsiteY11" fmla="*/ 3743699 h 3923699"/>
              <a:gd name="connsiteX12" fmla="*/ 971853 w 1489775"/>
              <a:gd name="connsiteY12" fmla="*/ 3923699 h 3923699"/>
              <a:gd name="connsiteX13" fmla="*/ 791853 w 1489775"/>
              <a:gd name="connsiteY13" fmla="*/ 3743699 h 3923699"/>
              <a:gd name="connsiteX14" fmla="*/ 791853 w 1489775"/>
              <a:gd name="connsiteY14" fmla="*/ 2305078 h 3923699"/>
              <a:gd name="connsiteX15" fmla="*/ 683854 w 1489775"/>
              <a:gd name="connsiteY15" fmla="*/ 2305078 h 3923699"/>
              <a:gd name="connsiteX16" fmla="*/ 683854 w 1489775"/>
              <a:gd name="connsiteY16" fmla="*/ 3743698 h 3923699"/>
              <a:gd name="connsiteX17" fmla="*/ 503854 w 1489775"/>
              <a:gd name="connsiteY17" fmla="*/ 3923698 h 3923699"/>
              <a:gd name="connsiteX18" fmla="*/ 323854 w 1489775"/>
              <a:gd name="connsiteY18" fmla="*/ 3743698 h 3923699"/>
              <a:gd name="connsiteX19" fmla="*/ 323854 w 1489775"/>
              <a:gd name="connsiteY19" fmla="*/ 2238914 h 3923699"/>
              <a:gd name="connsiteX20" fmla="*/ 330887 w 1489775"/>
              <a:gd name="connsiteY20" fmla="*/ 2238914 h 3923699"/>
              <a:gd name="connsiteX21" fmla="*/ 330887 w 1489775"/>
              <a:gd name="connsiteY21" fmla="*/ 1390678 h 3923699"/>
              <a:gd name="connsiteX22" fmla="*/ 288033 w 1489775"/>
              <a:gd name="connsiteY22" fmla="*/ 1390678 h 3923699"/>
              <a:gd name="connsiteX23" fmla="*/ 288033 w 1489775"/>
              <a:gd name="connsiteY23" fmla="*/ 2063902 h 3923699"/>
              <a:gd name="connsiteX24" fmla="*/ 144017 w 1489775"/>
              <a:gd name="connsiteY24" fmla="*/ 2207918 h 3923699"/>
              <a:gd name="connsiteX25" fmla="*/ 1 w 1489775"/>
              <a:gd name="connsiteY25" fmla="*/ 2063902 h 3923699"/>
              <a:gd name="connsiteX26" fmla="*/ 1 w 1489775"/>
              <a:gd name="connsiteY26" fmla="*/ 1390678 h 3923699"/>
              <a:gd name="connsiteX27" fmla="*/ 0 w 1489775"/>
              <a:gd name="connsiteY27" fmla="*/ 1390678 h 3923699"/>
              <a:gd name="connsiteX28" fmla="*/ 0 w 1489775"/>
              <a:gd name="connsiteY28" fmla="*/ 1030958 h 3923699"/>
              <a:gd name="connsiteX29" fmla="*/ 280204 w 1489775"/>
              <a:gd name="connsiteY29" fmla="*/ 750754 h 3923699"/>
              <a:gd name="connsiteX30" fmla="*/ 744888 w 1489775"/>
              <a:gd name="connsiteY30" fmla="*/ 0 h 3923699"/>
              <a:gd name="connsiteX31" fmla="*/ 1082199 w 1489775"/>
              <a:gd name="connsiteY31" fmla="*/ 337311 h 3923699"/>
              <a:gd name="connsiteX32" fmla="*/ 744888 w 1489775"/>
              <a:gd name="connsiteY32" fmla="*/ 674622 h 3923699"/>
              <a:gd name="connsiteX33" fmla="*/ 407577 w 1489775"/>
              <a:gd name="connsiteY33" fmla="*/ 337311 h 3923699"/>
              <a:gd name="connsiteX34" fmla="*/ 744888 w 1489775"/>
              <a:gd name="connsiteY34" fmla="*/ 0 h 3923699"/>
              <a:gd name="connsiteX0" fmla="*/ 280204 w 1489775"/>
              <a:gd name="connsiteY0" fmla="*/ 750754 h 3923699"/>
              <a:gd name="connsiteX1" fmla="*/ 1209570 w 1489775"/>
              <a:gd name="connsiteY1" fmla="*/ 750754 h 3923699"/>
              <a:gd name="connsiteX2" fmla="*/ 1489774 w 1489775"/>
              <a:gd name="connsiteY2" fmla="*/ 1030958 h 3923699"/>
              <a:gd name="connsiteX3" fmla="*/ 1489774 w 1489775"/>
              <a:gd name="connsiteY3" fmla="*/ 1293518 h 3923699"/>
              <a:gd name="connsiteX4" fmla="*/ 1489775 w 1489775"/>
              <a:gd name="connsiteY4" fmla="*/ 1293518 h 3923699"/>
              <a:gd name="connsiteX5" fmla="*/ 1489775 w 1489775"/>
              <a:gd name="connsiteY5" fmla="*/ 2063902 h 3923699"/>
              <a:gd name="connsiteX6" fmla="*/ 1345759 w 1489775"/>
              <a:gd name="connsiteY6" fmla="*/ 2207918 h 3923699"/>
              <a:gd name="connsiteX7" fmla="*/ 1201743 w 1489775"/>
              <a:gd name="connsiteY7" fmla="*/ 2063902 h 3923699"/>
              <a:gd name="connsiteX8" fmla="*/ 1201743 w 1489775"/>
              <a:gd name="connsiteY8" fmla="*/ 1390678 h 3923699"/>
              <a:gd name="connsiteX9" fmla="*/ 1158887 w 1489775"/>
              <a:gd name="connsiteY9" fmla="*/ 1390678 h 3923699"/>
              <a:gd name="connsiteX10" fmla="*/ 1151853 w 1489775"/>
              <a:gd name="connsiteY10" fmla="*/ 3743699 h 3923699"/>
              <a:gd name="connsiteX11" fmla="*/ 971853 w 1489775"/>
              <a:gd name="connsiteY11" fmla="*/ 3923699 h 3923699"/>
              <a:gd name="connsiteX12" fmla="*/ 791853 w 1489775"/>
              <a:gd name="connsiteY12" fmla="*/ 3743699 h 3923699"/>
              <a:gd name="connsiteX13" fmla="*/ 791853 w 1489775"/>
              <a:gd name="connsiteY13" fmla="*/ 2305078 h 3923699"/>
              <a:gd name="connsiteX14" fmla="*/ 683854 w 1489775"/>
              <a:gd name="connsiteY14" fmla="*/ 2305078 h 3923699"/>
              <a:gd name="connsiteX15" fmla="*/ 683854 w 1489775"/>
              <a:gd name="connsiteY15" fmla="*/ 3743698 h 3923699"/>
              <a:gd name="connsiteX16" fmla="*/ 503854 w 1489775"/>
              <a:gd name="connsiteY16" fmla="*/ 3923698 h 3923699"/>
              <a:gd name="connsiteX17" fmla="*/ 323854 w 1489775"/>
              <a:gd name="connsiteY17" fmla="*/ 3743698 h 3923699"/>
              <a:gd name="connsiteX18" fmla="*/ 323854 w 1489775"/>
              <a:gd name="connsiteY18" fmla="*/ 2238914 h 3923699"/>
              <a:gd name="connsiteX19" fmla="*/ 330887 w 1489775"/>
              <a:gd name="connsiteY19" fmla="*/ 2238914 h 3923699"/>
              <a:gd name="connsiteX20" fmla="*/ 330887 w 1489775"/>
              <a:gd name="connsiteY20" fmla="*/ 1390678 h 3923699"/>
              <a:gd name="connsiteX21" fmla="*/ 288033 w 1489775"/>
              <a:gd name="connsiteY21" fmla="*/ 1390678 h 3923699"/>
              <a:gd name="connsiteX22" fmla="*/ 288033 w 1489775"/>
              <a:gd name="connsiteY22" fmla="*/ 2063902 h 3923699"/>
              <a:gd name="connsiteX23" fmla="*/ 144017 w 1489775"/>
              <a:gd name="connsiteY23" fmla="*/ 2207918 h 3923699"/>
              <a:gd name="connsiteX24" fmla="*/ 1 w 1489775"/>
              <a:gd name="connsiteY24" fmla="*/ 2063902 h 3923699"/>
              <a:gd name="connsiteX25" fmla="*/ 1 w 1489775"/>
              <a:gd name="connsiteY25" fmla="*/ 1390678 h 3923699"/>
              <a:gd name="connsiteX26" fmla="*/ 0 w 1489775"/>
              <a:gd name="connsiteY26" fmla="*/ 1390678 h 3923699"/>
              <a:gd name="connsiteX27" fmla="*/ 0 w 1489775"/>
              <a:gd name="connsiteY27" fmla="*/ 1030958 h 3923699"/>
              <a:gd name="connsiteX28" fmla="*/ 280204 w 1489775"/>
              <a:gd name="connsiteY28" fmla="*/ 750754 h 3923699"/>
              <a:gd name="connsiteX29" fmla="*/ 744888 w 1489775"/>
              <a:gd name="connsiteY29" fmla="*/ 0 h 3923699"/>
              <a:gd name="connsiteX30" fmla="*/ 1082199 w 1489775"/>
              <a:gd name="connsiteY30" fmla="*/ 337311 h 3923699"/>
              <a:gd name="connsiteX31" fmla="*/ 744888 w 1489775"/>
              <a:gd name="connsiteY31" fmla="*/ 674622 h 3923699"/>
              <a:gd name="connsiteX32" fmla="*/ 407577 w 1489775"/>
              <a:gd name="connsiteY32" fmla="*/ 337311 h 3923699"/>
              <a:gd name="connsiteX33" fmla="*/ 744888 w 1489775"/>
              <a:gd name="connsiteY33" fmla="*/ 0 h 3923699"/>
              <a:gd name="connsiteX0" fmla="*/ 280204 w 1489775"/>
              <a:gd name="connsiteY0" fmla="*/ 750754 h 3923699"/>
              <a:gd name="connsiteX1" fmla="*/ 1209570 w 1489775"/>
              <a:gd name="connsiteY1" fmla="*/ 750754 h 3923699"/>
              <a:gd name="connsiteX2" fmla="*/ 1489774 w 1489775"/>
              <a:gd name="connsiteY2" fmla="*/ 1030958 h 3923699"/>
              <a:gd name="connsiteX3" fmla="*/ 1489774 w 1489775"/>
              <a:gd name="connsiteY3" fmla="*/ 1293518 h 3923699"/>
              <a:gd name="connsiteX4" fmla="*/ 1489775 w 1489775"/>
              <a:gd name="connsiteY4" fmla="*/ 1293518 h 3923699"/>
              <a:gd name="connsiteX5" fmla="*/ 1489775 w 1489775"/>
              <a:gd name="connsiteY5" fmla="*/ 2063902 h 3923699"/>
              <a:gd name="connsiteX6" fmla="*/ 1345759 w 1489775"/>
              <a:gd name="connsiteY6" fmla="*/ 2207918 h 3923699"/>
              <a:gd name="connsiteX7" fmla="*/ 1201743 w 1489775"/>
              <a:gd name="connsiteY7" fmla="*/ 2063902 h 3923699"/>
              <a:gd name="connsiteX8" fmla="*/ 1201743 w 1489775"/>
              <a:gd name="connsiteY8" fmla="*/ 1390678 h 3923699"/>
              <a:gd name="connsiteX9" fmla="*/ 1158887 w 1489775"/>
              <a:gd name="connsiteY9" fmla="*/ 1390678 h 3923699"/>
              <a:gd name="connsiteX10" fmla="*/ 1151853 w 1489775"/>
              <a:gd name="connsiteY10" fmla="*/ 3743699 h 3923699"/>
              <a:gd name="connsiteX11" fmla="*/ 971853 w 1489775"/>
              <a:gd name="connsiteY11" fmla="*/ 3923699 h 3923699"/>
              <a:gd name="connsiteX12" fmla="*/ 791853 w 1489775"/>
              <a:gd name="connsiteY12" fmla="*/ 3743699 h 3923699"/>
              <a:gd name="connsiteX13" fmla="*/ 791853 w 1489775"/>
              <a:gd name="connsiteY13" fmla="*/ 2305078 h 3923699"/>
              <a:gd name="connsiteX14" fmla="*/ 683854 w 1489775"/>
              <a:gd name="connsiteY14" fmla="*/ 2305078 h 3923699"/>
              <a:gd name="connsiteX15" fmla="*/ 683854 w 1489775"/>
              <a:gd name="connsiteY15" fmla="*/ 3743698 h 3923699"/>
              <a:gd name="connsiteX16" fmla="*/ 503854 w 1489775"/>
              <a:gd name="connsiteY16" fmla="*/ 3923698 h 3923699"/>
              <a:gd name="connsiteX17" fmla="*/ 323854 w 1489775"/>
              <a:gd name="connsiteY17" fmla="*/ 3743698 h 3923699"/>
              <a:gd name="connsiteX18" fmla="*/ 323854 w 1489775"/>
              <a:gd name="connsiteY18" fmla="*/ 2238914 h 3923699"/>
              <a:gd name="connsiteX19" fmla="*/ 330887 w 1489775"/>
              <a:gd name="connsiteY19" fmla="*/ 1390678 h 3923699"/>
              <a:gd name="connsiteX20" fmla="*/ 288033 w 1489775"/>
              <a:gd name="connsiteY20" fmla="*/ 1390678 h 3923699"/>
              <a:gd name="connsiteX21" fmla="*/ 288033 w 1489775"/>
              <a:gd name="connsiteY21" fmla="*/ 2063902 h 3923699"/>
              <a:gd name="connsiteX22" fmla="*/ 144017 w 1489775"/>
              <a:gd name="connsiteY22" fmla="*/ 2207918 h 3923699"/>
              <a:gd name="connsiteX23" fmla="*/ 1 w 1489775"/>
              <a:gd name="connsiteY23" fmla="*/ 2063902 h 3923699"/>
              <a:gd name="connsiteX24" fmla="*/ 1 w 1489775"/>
              <a:gd name="connsiteY24" fmla="*/ 1390678 h 3923699"/>
              <a:gd name="connsiteX25" fmla="*/ 0 w 1489775"/>
              <a:gd name="connsiteY25" fmla="*/ 1390678 h 3923699"/>
              <a:gd name="connsiteX26" fmla="*/ 0 w 1489775"/>
              <a:gd name="connsiteY26" fmla="*/ 1030958 h 3923699"/>
              <a:gd name="connsiteX27" fmla="*/ 280204 w 1489775"/>
              <a:gd name="connsiteY27" fmla="*/ 750754 h 3923699"/>
              <a:gd name="connsiteX28" fmla="*/ 744888 w 1489775"/>
              <a:gd name="connsiteY28" fmla="*/ 0 h 3923699"/>
              <a:gd name="connsiteX29" fmla="*/ 1082199 w 1489775"/>
              <a:gd name="connsiteY29" fmla="*/ 337311 h 3923699"/>
              <a:gd name="connsiteX30" fmla="*/ 744888 w 1489775"/>
              <a:gd name="connsiteY30" fmla="*/ 674622 h 3923699"/>
              <a:gd name="connsiteX31" fmla="*/ 407577 w 1489775"/>
              <a:gd name="connsiteY31" fmla="*/ 337311 h 3923699"/>
              <a:gd name="connsiteX32" fmla="*/ 744888 w 1489775"/>
              <a:gd name="connsiteY32" fmla="*/ 0 h 3923699"/>
              <a:gd name="connsiteX0" fmla="*/ 280204 w 1489775"/>
              <a:gd name="connsiteY0" fmla="*/ 750754 h 3923699"/>
              <a:gd name="connsiteX1" fmla="*/ 1209570 w 1489775"/>
              <a:gd name="connsiteY1" fmla="*/ 750754 h 3923699"/>
              <a:gd name="connsiteX2" fmla="*/ 1489774 w 1489775"/>
              <a:gd name="connsiteY2" fmla="*/ 1030958 h 3923699"/>
              <a:gd name="connsiteX3" fmla="*/ 1489774 w 1489775"/>
              <a:gd name="connsiteY3" fmla="*/ 1293518 h 3923699"/>
              <a:gd name="connsiteX4" fmla="*/ 1489775 w 1489775"/>
              <a:gd name="connsiteY4" fmla="*/ 1293518 h 3923699"/>
              <a:gd name="connsiteX5" fmla="*/ 1489775 w 1489775"/>
              <a:gd name="connsiteY5" fmla="*/ 2063902 h 3923699"/>
              <a:gd name="connsiteX6" fmla="*/ 1345759 w 1489775"/>
              <a:gd name="connsiteY6" fmla="*/ 2207918 h 3923699"/>
              <a:gd name="connsiteX7" fmla="*/ 1201743 w 1489775"/>
              <a:gd name="connsiteY7" fmla="*/ 2063902 h 3923699"/>
              <a:gd name="connsiteX8" fmla="*/ 1201743 w 1489775"/>
              <a:gd name="connsiteY8" fmla="*/ 1390678 h 3923699"/>
              <a:gd name="connsiteX9" fmla="*/ 1158887 w 1489775"/>
              <a:gd name="connsiteY9" fmla="*/ 1390678 h 3923699"/>
              <a:gd name="connsiteX10" fmla="*/ 1151853 w 1489775"/>
              <a:gd name="connsiteY10" fmla="*/ 3743699 h 3923699"/>
              <a:gd name="connsiteX11" fmla="*/ 971853 w 1489775"/>
              <a:gd name="connsiteY11" fmla="*/ 3923699 h 3923699"/>
              <a:gd name="connsiteX12" fmla="*/ 791853 w 1489775"/>
              <a:gd name="connsiteY12" fmla="*/ 3743699 h 3923699"/>
              <a:gd name="connsiteX13" fmla="*/ 791853 w 1489775"/>
              <a:gd name="connsiteY13" fmla="*/ 2305078 h 3923699"/>
              <a:gd name="connsiteX14" fmla="*/ 683854 w 1489775"/>
              <a:gd name="connsiteY14" fmla="*/ 2305078 h 3923699"/>
              <a:gd name="connsiteX15" fmla="*/ 683854 w 1489775"/>
              <a:gd name="connsiteY15" fmla="*/ 3743698 h 3923699"/>
              <a:gd name="connsiteX16" fmla="*/ 503854 w 1489775"/>
              <a:gd name="connsiteY16" fmla="*/ 3923698 h 3923699"/>
              <a:gd name="connsiteX17" fmla="*/ 323854 w 1489775"/>
              <a:gd name="connsiteY17" fmla="*/ 3743698 h 3923699"/>
              <a:gd name="connsiteX18" fmla="*/ 330887 w 1489775"/>
              <a:gd name="connsiteY18" fmla="*/ 1390678 h 3923699"/>
              <a:gd name="connsiteX19" fmla="*/ 288033 w 1489775"/>
              <a:gd name="connsiteY19" fmla="*/ 1390678 h 3923699"/>
              <a:gd name="connsiteX20" fmla="*/ 288033 w 1489775"/>
              <a:gd name="connsiteY20" fmla="*/ 2063902 h 3923699"/>
              <a:gd name="connsiteX21" fmla="*/ 144017 w 1489775"/>
              <a:gd name="connsiteY21" fmla="*/ 2207918 h 3923699"/>
              <a:gd name="connsiteX22" fmla="*/ 1 w 1489775"/>
              <a:gd name="connsiteY22" fmla="*/ 2063902 h 3923699"/>
              <a:gd name="connsiteX23" fmla="*/ 1 w 1489775"/>
              <a:gd name="connsiteY23" fmla="*/ 1390678 h 3923699"/>
              <a:gd name="connsiteX24" fmla="*/ 0 w 1489775"/>
              <a:gd name="connsiteY24" fmla="*/ 1390678 h 3923699"/>
              <a:gd name="connsiteX25" fmla="*/ 0 w 1489775"/>
              <a:gd name="connsiteY25" fmla="*/ 1030958 h 3923699"/>
              <a:gd name="connsiteX26" fmla="*/ 280204 w 1489775"/>
              <a:gd name="connsiteY26" fmla="*/ 750754 h 3923699"/>
              <a:gd name="connsiteX27" fmla="*/ 744888 w 1489775"/>
              <a:gd name="connsiteY27" fmla="*/ 0 h 3923699"/>
              <a:gd name="connsiteX28" fmla="*/ 1082199 w 1489775"/>
              <a:gd name="connsiteY28" fmla="*/ 337311 h 3923699"/>
              <a:gd name="connsiteX29" fmla="*/ 744888 w 1489775"/>
              <a:gd name="connsiteY29" fmla="*/ 674622 h 3923699"/>
              <a:gd name="connsiteX30" fmla="*/ 407577 w 1489775"/>
              <a:gd name="connsiteY30" fmla="*/ 337311 h 3923699"/>
              <a:gd name="connsiteX31" fmla="*/ 744888 w 1489775"/>
              <a:gd name="connsiteY31" fmla="*/ 0 h 3923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1489775" h="3923699">
                <a:moveTo>
                  <a:pt x="280204" y="750754"/>
                </a:moveTo>
                <a:lnTo>
                  <a:pt x="1209570" y="750754"/>
                </a:lnTo>
                <a:cubicBezTo>
                  <a:pt x="1364322" y="750754"/>
                  <a:pt x="1489774" y="876206"/>
                  <a:pt x="1489774" y="1030958"/>
                </a:cubicBezTo>
                <a:lnTo>
                  <a:pt x="1489774" y="1293518"/>
                </a:lnTo>
                <a:lnTo>
                  <a:pt x="1489775" y="1293518"/>
                </a:lnTo>
                <a:lnTo>
                  <a:pt x="1489775" y="2063902"/>
                </a:lnTo>
                <a:cubicBezTo>
                  <a:pt x="1489775" y="2143440"/>
                  <a:pt x="1425297" y="2207918"/>
                  <a:pt x="1345759" y="2207918"/>
                </a:cubicBezTo>
                <a:cubicBezTo>
                  <a:pt x="1266221" y="2207918"/>
                  <a:pt x="1201743" y="2143440"/>
                  <a:pt x="1201743" y="2063902"/>
                </a:cubicBezTo>
                <a:lnTo>
                  <a:pt x="1201743" y="1390678"/>
                </a:lnTo>
                <a:lnTo>
                  <a:pt x="1158887" y="1390678"/>
                </a:lnTo>
                <a:cubicBezTo>
                  <a:pt x="1156542" y="2175018"/>
                  <a:pt x="1154198" y="2959359"/>
                  <a:pt x="1151853" y="3743699"/>
                </a:cubicBezTo>
                <a:cubicBezTo>
                  <a:pt x="1151853" y="3843110"/>
                  <a:pt x="1071264" y="3923699"/>
                  <a:pt x="971853" y="3923699"/>
                </a:cubicBezTo>
                <a:cubicBezTo>
                  <a:pt x="872442" y="3923699"/>
                  <a:pt x="791853" y="3843110"/>
                  <a:pt x="791853" y="3743699"/>
                </a:cubicBezTo>
                <a:lnTo>
                  <a:pt x="791853" y="2305078"/>
                </a:lnTo>
                <a:lnTo>
                  <a:pt x="683854" y="2305078"/>
                </a:lnTo>
                <a:lnTo>
                  <a:pt x="683854" y="3743698"/>
                </a:lnTo>
                <a:cubicBezTo>
                  <a:pt x="683854" y="3843109"/>
                  <a:pt x="603265" y="3923698"/>
                  <a:pt x="503854" y="3923698"/>
                </a:cubicBezTo>
                <a:cubicBezTo>
                  <a:pt x="404443" y="3923698"/>
                  <a:pt x="323854" y="3843109"/>
                  <a:pt x="323854" y="3743698"/>
                </a:cubicBezTo>
                <a:cubicBezTo>
                  <a:pt x="326198" y="2959358"/>
                  <a:pt x="328543" y="2175018"/>
                  <a:pt x="330887" y="1390678"/>
                </a:cubicBezTo>
                <a:lnTo>
                  <a:pt x="288033" y="1390678"/>
                </a:lnTo>
                <a:lnTo>
                  <a:pt x="288033" y="2063902"/>
                </a:lnTo>
                <a:cubicBezTo>
                  <a:pt x="288033" y="2143440"/>
                  <a:pt x="223555" y="2207918"/>
                  <a:pt x="144017" y="2207918"/>
                </a:cubicBezTo>
                <a:cubicBezTo>
                  <a:pt x="64479" y="2207918"/>
                  <a:pt x="1" y="2143440"/>
                  <a:pt x="1" y="2063902"/>
                </a:cubicBezTo>
                <a:lnTo>
                  <a:pt x="1" y="1390678"/>
                </a:lnTo>
                <a:lnTo>
                  <a:pt x="0" y="1390678"/>
                </a:lnTo>
                <a:lnTo>
                  <a:pt x="0" y="1030958"/>
                </a:lnTo>
                <a:cubicBezTo>
                  <a:pt x="0" y="876206"/>
                  <a:pt x="125452" y="750754"/>
                  <a:pt x="280204" y="750754"/>
                </a:cubicBezTo>
                <a:close/>
                <a:moveTo>
                  <a:pt x="744888" y="0"/>
                </a:moveTo>
                <a:cubicBezTo>
                  <a:pt x="931180" y="0"/>
                  <a:pt x="1082199" y="151019"/>
                  <a:pt x="1082199" y="337311"/>
                </a:cubicBezTo>
                <a:cubicBezTo>
                  <a:pt x="1082199" y="523603"/>
                  <a:pt x="931180" y="674622"/>
                  <a:pt x="744888" y="674622"/>
                </a:cubicBezTo>
                <a:cubicBezTo>
                  <a:pt x="558596" y="674622"/>
                  <a:pt x="407577" y="523603"/>
                  <a:pt x="407577" y="337311"/>
                </a:cubicBezTo>
                <a:cubicBezTo>
                  <a:pt x="407577" y="151019"/>
                  <a:pt x="558596" y="0"/>
                  <a:pt x="744888" y="0"/>
                </a:cubicBezTo>
                <a:close/>
              </a:path>
            </a:pathLst>
          </a:cu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ko-KR" altLang="en-US" sz="2700">
              <a:solidFill>
                <a:schemeClr val="bg1"/>
              </a:solidFill>
            </a:endParaRPr>
          </a:p>
        </xdr:txBody>
      </xdr:sp>
      <xdr:sp macro="" textlink="เลือกรายเขต!E15">
        <xdr:nvSpPr>
          <xdr:cNvPr id="45" name="กล่องข้อความ 44">
            <a:extLst>
              <a:ext uri="{FF2B5EF4-FFF2-40B4-BE49-F238E27FC236}">
                <a16:creationId xmlns:a16="http://schemas.microsoft.com/office/drawing/2014/main" id="{FC20CEC3-B6CC-AD49-AB48-F4420EAD08CF}"/>
              </a:ext>
            </a:extLst>
          </xdr:cNvPr>
          <xdr:cNvSpPr txBox="1"/>
        </xdr:nvSpPr>
        <xdr:spPr>
          <a:xfrm>
            <a:off x="10489595" y="13348607"/>
            <a:ext cx="1602619" cy="624417"/>
          </a:xfrm>
          <a:prstGeom prst="rect">
            <a:avLst/>
          </a:prstGeom>
          <a:solidFill>
            <a:schemeClr val="accen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FBE7A513-434E-3741-B2DE-854DA59DC80E}" type="TxLink">
              <a:rPr lang="en-US" sz="3600" b="1" i="0" u="none" strike="noStrike">
                <a:solidFill>
                  <a:schemeClr val="bg1"/>
                </a:solidFill>
                <a:latin typeface="TH SarabunPSK"/>
                <a:cs typeface="TH SarabunPSK"/>
              </a:rPr>
              <a:pPr algn="ctr"/>
              <a:t> 264 </a:t>
            </a:fld>
            <a:r>
              <a:rPr lang="th-TH" sz="3600" b="1" i="0" u="none" strike="noStrike">
                <a:solidFill>
                  <a:schemeClr val="bg1"/>
                </a:solidFill>
                <a:latin typeface="TH SarabunPSK"/>
                <a:cs typeface="TH SarabunPSK"/>
              </a:rPr>
              <a:t>คน</a:t>
            </a:r>
            <a:endParaRPr lang="th-TH" sz="3600" b="1">
              <a:solidFill>
                <a:schemeClr val="bg1"/>
              </a:solidFill>
            </a:endParaRPr>
          </a:p>
        </xdr:txBody>
      </xdr:sp>
      <xdr:sp macro="" textlink="">
        <xdr:nvSpPr>
          <xdr:cNvPr id="46" name="Round Same Side Corner Rectangle 20">
            <a:extLst>
              <a:ext uri="{FF2B5EF4-FFF2-40B4-BE49-F238E27FC236}">
                <a16:creationId xmlns:a16="http://schemas.microsoft.com/office/drawing/2014/main" id="{659042F8-4627-7C4C-B08A-54A26E9488FA}"/>
              </a:ext>
            </a:extLst>
          </xdr:cNvPr>
          <xdr:cNvSpPr/>
        </xdr:nvSpPr>
        <xdr:spPr>
          <a:xfrm rot="10800000">
            <a:off x="11076214" y="14237607"/>
            <a:ext cx="445679" cy="781922"/>
          </a:xfrm>
          <a:custGeom>
            <a:avLst/>
            <a:gdLst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521281 w 1856332"/>
              <a:gd name="connsiteY2" fmla="*/ 3174669 h 3959924"/>
              <a:gd name="connsiteX3" fmla="*/ 466697 w 1856332"/>
              <a:gd name="connsiteY3" fmla="*/ 3144149 h 3959924"/>
              <a:gd name="connsiteX4" fmla="*/ 8303 w 1856332"/>
              <a:gd name="connsiteY4" fmla="*/ 1942070 h 3959924"/>
              <a:gd name="connsiteX5" fmla="*/ 81139 w 1856332"/>
              <a:gd name="connsiteY5" fmla="*/ 1779444 h 3959924"/>
              <a:gd name="connsiteX6" fmla="*/ 243764 w 1856332"/>
              <a:gd name="connsiteY6" fmla="*/ 1852280 h 3959924"/>
              <a:gd name="connsiteX7" fmla="*/ 504770 w 1856332"/>
              <a:gd name="connsiteY7" fmla="*/ 2536736 h 3959924"/>
              <a:gd name="connsiteX8" fmla="*/ 555637 w 1856332"/>
              <a:gd name="connsiteY8" fmla="*/ 2536736 h 3959924"/>
              <a:gd name="connsiteX9" fmla="*/ 226299 w 1856332"/>
              <a:gd name="connsiteY9" fmla="*/ 1210417 h 3959924"/>
              <a:gd name="connsiteX10" fmla="*/ 551784 w 1856332"/>
              <a:gd name="connsiteY10" fmla="*/ 1210417 h 3959924"/>
              <a:gd name="connsiteX11" fmla="*/ 551784 w 1856332"/>
              <a:gd name="connsiteY11" fmla="*/ 168335 h 3959924"/>
              <a:gd name="connsiteX12" fmla="*/ 720119 w 1856332"/>
              <a:gd name="connsiteY12" fmla="*/ 0 h 3959924"/>
              <a:gd name="connsiteX13" fmla="*/ 888454 w 1856332"/>
              <a:gd name="connsiteY13" fmla="*/ 168335 h 3959924"/>
              <a:gd name="connsiteX14" fmla="*/ 888454 w 1856332"/>
              <a:gd name="connsiteY14" fmla="*/ 1210417 h 3959924"/>
              <a:gd name="connsiteX15" fmla="*/ 968040 w 1856332"/>
              <a:gd name="connsiteY15" fmla="*/ 1210417 h 3959924"/>
              <a:gd name="connsiteX16" fmla="*/ 968040 w 1856332"/>
              <a:gd name="connsiteY16" fmla="*/ 168335 h 3959924"/>
              <a:gd name="connsiteX17" fmla="*/ 1136375 w 1856332"/>
              <a:gd name="connsiteY17" fmla="*/ 0 h 3959924"/>
              <a:gd name="connsiteX18" fmla="*/ 1304710 w 1856332"/>
              <a:gd name="connsiteY18" fmla="*/ 168335 h 3959924"/>
              <a:gd name="connsiteX19" fmla="*/ 1304710 w 1856332"/>
              <a:gd name="connsiteY19" fmla="*/ 1210417 h 3959924"/>
              <a:gd name="connsiteX20" fmla="*/ 1631589 w 1856332"/>
              <a:gd name="connsiteY20" fmla="*/ 1210417 h 3959924"/>
              <a:gd name="connsiteX21" fmla="*/ 1302251 w 1856332"/>
              <a:gd name="connsiteY21" fmla="*/ 2536736 h 3959924"/>
              <a:gd name="connsiteX22" fmla="*/ 1351562 w 1856332"/>
              <a:gd name="connsiteY22" fmla="*/ 2536736 h 3959924"/>
              <a:gd name="connsiteX23" fmla="*/ 1612568 w 1856332"/>
              <a:gd name="connsiteY23" fmla="*/ 1852280 h 3959924"/>
              <a:gd name="connsiteX24" fmla="*/ 1775193 w 1856332"/>
              <a:gd name="connsiteY24" fmla="*/ 1779444 h 3959924"/>
              <a:gd name="connsiteX25" fmla="*/ 1848029 w 1856332"/>
              <a:gd name="connsiteY25" fmla="*/ 1942070 h 3959924"/>
              <a:gd name="connsiteX26" fmla="*/ 1389635 w 1856332"/>
              <a:gd name="connsiteY26" fmla="*/ 3144149 h 3959924"/>
              <a:gd name="connsiteX27" fmla="*/ 1344732 w 1856332"/>
              <a:gd name="connsiteY27" fmla="*/ 3176282 h 3959924"/>
              <a:gd name="connsiteX28" fmla="*/ 1228565 w 1856332"/>
              <a:gd name="connsiteY28" fmla="*/ 3214674 h 3959924"/>
              <a:gd name="connsiteX29" fmla="*/ 925623 w 1856332"/>
              <a:gd name="connsiteY29" fmla="*/ 3959924 h 3959924"/>
              <a:gd name="connsiteX30" fmla="*/ 601623 w 1856332"/>
              <a:gd name="connsiteY30" fmla="*/ 3635924 h 3959924"/>
              <a:gd name="connsiteX31" fmla="*/ 925623 w 1856332"/>
              <a:gd name="connsiteY31" fmla="*/ 3311924 h 3959924"/>
              <a:gd name="connsiteX32" fmla="*/ 1249623 w 1856332"/>
              <a:gd name="connsiteY32" fmla="*/ 3635924 h 3959924"/>
              <a:gd name="connsiteX33" fmla="*/ 925623 w 1856332"/>
              <a:gd name="connsiteY33" fmla="*/ 3959924 h 3959924"/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466697 w 1856332"/>
              <a:gd name="connsiteY2" fmla="*/ 3144149 h 3959924"/>
              <a:gd name="connsiteX3" fmla="*/ 8303 w 1856332"/>
              <a:gd name="connsiteY3" fmla="*/ 1942070 h 3959924"/>
              <a:gd name="connsiteX4" fmla="*/ 81139 w 1856332"/>
              <a:gd name="connsiteY4" fmla="*/ 1779444 h 3959924"/>
              <a:gd name="connsiteX5" fmla="*/ 243764 w 1856332"/>
              <a:gd name="connsiteY5" fmla="*/ 1852280 h 3959924"/>
              <a:gd name="connsiteX6" fmla="*/ 504770 w 1856332"/>
              <a:gd name="connsiteY6" fmla="*/ 2536736 h 3959924"/>
              <a:gd name="connsiteX7" fmla="*/ 555637 w 1856332"/>
              <a:gd name="connsiteY7" fmla="*/ 2536736 h 3959924"/>
              <a:gd name="connsiteX8" fmla="*/ 226299 w 1856332"/>
              <a:gd name="connsiteY8" fmla="*/ 1210417 h 3959924"/>
              <a:gd name="connsiteX9" fmla="*/ 551784 w 1856332"/>
              <a:gd name="connsiteY9" fmla="*/ 1210417 h 3959924"/>
              <a:gd name="connsiteX10" fmla="*/ 551784 w 1856332"/>
              <a:gd name="connsiteY10" fmla="*/ 168335 h 3959924"/>
              <a:gd name="connsiteX11" fmla="*/ 720119 w 1856332"/>
              <a:gd name="connsiteY11" fmla="*/ 0 h 3959924"/>
              <a:gd name="connsiteX12" fmla="*/ 888454 w 1856332"/>
              <a:gd name="connsiteY12" fmla="*/ 168335 h 3959924"/>
              <a:gd name="connsiteX13" fmla="*/ 888454 w 1856332"/>
              <a:gd name="connsiteY13" fmla="*/ 1210417 h 3959924"/>
              <a:gd name="connsiteX14" fmla="*/ 968040 w 1856332"/>
              <a:gd name="connsiteY14" fmla="*/ 1210417 h 3959924"/>
              <a:gd name="connsiteX15" fmla="*/ 968040 w 1856332"/>
              <a:gd name="connsiteY15" fmla="*/ 168335 h 3959924"/>
              <a:gd name="connsiteX16" fmla="*/ 1136375 w 1856332"/>
              <a:gd name="connsiteY16" fmla="*/ 0 h 3959924"/>
              <a:gd name="connsiteX17" fmla="*/ 1304710 w 1856332"/>
              <a:gd name="connsiteY17" fmla="*/ 168335 h 3959924"/>
              <a:gd name="connsiteX18" fmla="*/ 1304710 w 1856332"/>
              <a:gd name="connsiteY18" fmla="*/ 1210417 h 3959924"/>
              <a:gd name="connsiteX19" fmla="*/ 1631589 w 1856332"/>
              <a:gd name="connsiteY19" fmla="*/ 1210417 h 3959924"/>
              <a:gd name="connsiteX20" fmla="*/ 1302251 w 1856332"/>
              <a:gd name="connsiteY20" fmla="*/ 2536736 h 3959924"/>
              <a:gd name="connsiteX21" fmla="*/ 1351562 w 1856332"/>
              <a:gd name="connsiteY21" fmla="*/ 2536736 h 3959924"/>
              <a:gd name="connsiteX22" fmla="*/ 1612568 w 1856332"/>
              <a:gd name="connsiteY22" fmla="*/ 1852280 h 3959924"/>
              <a:gd name="connsiteX23" fmla="*/ 1775193 w 1856332"/>
              <a:gd name="connsiteY23" fmla="*/ 1779444 h 3959924"/>
              <a:gd name="connsiteX24" fmla="*/ 1848029 w 1856332"/>
              <a:gd name="connsiteY24" fmla="*/ 1942070 h 3959924"/>
              <a:gd name="connsiteX25" fmla="*/ 1389635 w 1856332"/>
              <a:gd name="connsiteY25" fmla="*/ 3144149 h 3959924"/>
              <a:gd name="connsiteX26" fmla="*/ 1344732 w 1856332"/>
              <a:gd name="connsiteY26" fmla="*/ 3176282 h 3959924"/>
              <a:gd name="connsiteX27" fmla="*/ 1228565 w 1856332"/>
              <a:gd name="connsiteY27" fmla="*/ 3214674 h 3959924"/>
              <a:gd name="connsiteX28" fmla="*/ 925623 w 1856332"/>
              <a:gd name="connsiteY28" fmla="*/ 3959924 h 3959924"/>
              <a:gd name="connsiteX29" fmla="*/ 601623 w 1856332"/>
              <a:gd name="connsiteY29" fmla="*/ 3635924 h 3959924"/>
              <a:gd name="connsiteX30" fmla="*/ 925623 w 1856332"/>
              <a:gd name="connsiteY30" fmla="*/ 3311924 h 3959924"/>
              <a:gd name="connsiteX31" fmla="*/ 1249623 w 1856332"/>
              <a:gd name="connsiteY31" fmla="*/ 3635924 h 3959924"/>
              <a:gd name="connsiteX32" fmla="*/ 925623 w 1856332"/>
              <a:gd name="connsiteY32" fmla="*/ 3959924 h 3959924"/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466697 w 1856332"/>
              <a:gd name="connsiteY2" fmla="*/ 3144149 h 3959924"/>
              <a:gd name="connsiteX3" fmla="*/ 8303 w 1856332"/>
              <a:gd name="connsiteY3" fmla="*/ 1942070 h 3959924"/>
              <a:gd name="connsiteX4" fmla="*/ 81139 w 1856332"/>
              <a:gd name="connsiteY4" fmla="*/ 1779444 h 3959924"/>
              <a:gd name="connsiteX5" fmla="*/ 243764 w 1856332"/>
              <a:gd name="connsiteY5" fmla="*/ 1852280 h 3959924"/>
              <a:gd name="connsiteX6" fmla="*/ 504770 w 1856332"/>
              <a:gd name="connsiteY6" fmla="*/ 2536736 h 3959924"/>
              <a:gd name="connsiteX7" fmla="*/ 555637 w 1856332"/>
              <a:gd name="connsiteY7" fmla="*/ 2536736 h 3959924"/>
              <a:gd name="connsiteX8" fmla="*/ 226299 w 1856332"/>
              <a:gd name="connsiteY8" fmla="*/ 1210417 h 3959924"/>
              <a:gd name="connsiteX9" fmla="*/ 551784 w 1856332"/>
              <a:gd name="connsiteY9" fmla="*/ 1210417 h 3959924"/>
              <a:gd name="connsiteX10" fmla="*/ 551784 w 1856332"/>
              <a:gd name="connsiteY10" fmla="*/ 168335 h 3959924"/>
              <a:gd name="connsiteX11" fmla="*/ 720119 w 1856332"/>
              <a:gd name="connsiteY11" fmla="*/ 0 h 3959924"/>
              <a:gd name="connsiteX12" fmla="*/ 888454 w 1856332"/>
              <a:gd name="connsiteY12" fmla="*/ 168335 h 3959924"/>
              <a:gd name="connsiteX13" fmla="*/ 888454 w 1856332"/>
              <a:gd name="connsiteY13" fmla="*/ 1210417 h 3959924"/>
              <a:gd name="connsiteX14" fmla="*/ 968040 w 1856332"/>
              <a:gd name="connsiteY14" fmla="*/ 1210417 h 3959924"/>
              <a:gd name="connsiteX15" fmla="*/ 968040 w 1856332"/>
              <a:gd name="connsiteY15" fmla="*/ 168335 h 3959924"/>
              <a:gd name="connsiteX16" fmla="*/ 1136375 w 1856332"/>
              <a:gd name="connsiteY16" fmla="*/ 0 h 3959924"/>
              <a:gd name="connsiteX17" fmla="*/ 1304710 w 1856332"/>
              <a:gd name="connsiteY17" fmla="*/ 168335 h 3959924"/>
              <a:gd name="connsiteX18" fmla="*/ 1304710 w 1856332"/>
              <a:gd name="connsiteY18" fmla="*/ 1210417 h 3959924"/>
              <a:gd name="connsiteX19" fmla="*/ 1631589 w 1856332"/>
              <a:gd name="connsiteY19" fmla="*/ 1210417 h 3959924"/>
              <a:gd name="connsiteX20" fmla="*/ 1302251 w 1856332"/>
              <a:gd name="connsiteY20" fmla="*/ 2536736 h 3959924"/>
              <a:gd name="connsiteX21" fmla="*/ 1351562 w 1856332"/>
              <a:gd name="connsiteY21" fmla="*/ 2536736 h 3959924"/>
              <a:gd name="connsiteX22" fmla="*/ 1612568 w 1856332"/>
              <a:gd name="connsiteY22" fmla="*/ 1852280 h 3959924"/>
              <a:gd name="connsiteX23" fmla="*/ 1775193 w 1856332"/>
              <a:gd name="connsiteY23" fmla="*/ 1779444 h 3959924"/>
              <a:gd name="connsiteX24" fmla="*/ 1848029 w 1856332"/>
              <a:gd name="connsiteY24" fmla="*/ 1942070 h 3959924"/>
              <a:gd name="connsiteX25" fmla="*/ 1389635 w 1856332"/>
              <a:gd name="connsiteY25" fmla="*/ 3144149 h 3959924"/>
              <a:gd name="connsiteX26" fmla="*/ 1344732 w 1856332"/>
              <a:gd name="connsiteY26" fmla="*/ 3176282 h 3959924"/>
              <a:gd name="connsiteX27" fmla="*/ 1228565 w 1856332"/>
              <a:gd name="connsiteY27" fmla="*/ 3214674 h 3959924"/>
              <a:gd name="connsiteX28" fmla="*/ 925623 w 1856332"/>
              <a:gd name="connsiteY28" fmla="*/ 3959924 h 3959924"/>
              <a:gd name="connsiteX29" fmla="*/ 601623 w 1856332"/>
              <a:gd name="connsiteY29" fmla="*/ 3635924 h 3959924"/>
              <a:gd name="connsiteX30" fmla="*/ 925623 w 1856332"/>
              <a:gd name="connsiteY30" fmla="*/ 3311924 h 3959924"/>
              <a:gd name="connsiteX31" fmla="*/ 1249623 w 1856332"/>
              <a:gd name="connsiteY31" fmla="*/ 3635924 h 3959924"/>
              <a:gd name="connsiteX32" fmla="*/ 925623 w 1856332"/>
              <a:gd name="connsiteY32" fmla="*/ 3959924 h 3959924"/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466697 w 1856332"/>
              <a:gd name="connsiteY2" fmla="*/ 3144149 h 3959924"/>
              <a:gd name="connsiteX3" fmla="*/ 8303 w 1856332"/>
              <a:gd name="connsiteY3" fmla="*/ 1942070 h 3959924"/>
              <a:gd name="connsiteX4" fmla="*/ 81139 w 1856332"/>
              <a:gd name="connsiteY4" fmla="*/ 1779444 h 3959924"/>
              <a:gd name="connsiteX5" fmla="*/ 243764 w 1856332"/>
              <a:gd name="connsiteY5" fmla="*/ 1852280 h 3959924"/>
              <a:gd name="connsiteX6" fmla="*/ 504770 w 1856332"/>
              <a:gd name="connsiteY6" fmla="*/ 2536736 h 3959924"/>
              <a:gd name="connsiteX7" fmla="*/ 555637 w 1856332"/>
              <a:gd name="connsiteY7" fmla="*/ 2536736 h 3959924"/>
              <a:gd name="connsiteX8" fmla="*/ 226299 w 1856332"/>
              <a:gd name="connsiteY8" fmla="*/ 1210417 h 3959924"/>
              <a:gd name="connsiteX9" fmla="*/ 551784 w 1856332"/>
              <a:gd name="connsiteY9" fmla="*/ 1210417 h 3959924"/>
              <a:gd name="connsiteX10" fmla="*/ 551784 w 1856332"/>
              <a:gd name="connsiteY10" fmla="*/ 168335 h 3959924"/>
              <a:gd name="connsiteX11" fmla="*/ 720119 w 1856332"/>
              <a:gd name="connsiteY11" fmla="*/ 0 h 3959924"/>
              <a:gd name="connsiteX12" fmla="*/ 888454 w 1856332"/>
              <a:gd name="connsiteY12" fmla="*/ 168335 h 3959924"/>
              <a:gd name="connsiteX13" fmla="*/ 888454 w 1856332"/>
              <a:gd name="connsiteY13" fmla="*/ 1210417 h 3959924"/>
              <a:gd name="connsiteX14" fmla="*/ 968040 w 1856332"/>
              <a:gd name="connsiteY14" fmla="*/ 1210417 h 3959924"/>
              <a:gd name="connsiteX15" fmla="*/ 968040 w 1856332"/>
              <a:gd name="connsiteY15" fmla="*/ 168335 h 3959924"/>
              <a:gd name="connsiteX16" fmla="*/ 1136375 w 1856332"/>
              <a:gd name="connsiteY16" fmla="*/ 0 h 3959924"/>
              <a:gd name="connsiteX17" fmla="*/ 1304710 w 1856332"/>
              <a:gd name="connsiteY17" fmla="*/ 168335 h 3959924"/>
              <a:gd name="connsiteX18" fmla="*/ 1304710 w 1856332"/>
              <a:gd name="connsiteY18" fmla="*/ 1210417 h 3959924"/>
              <a:gd name="connsiteX19" fmla="*/ 1631589 w 1856332"/>
              <a:gd name="connsiteY19" fmla="*/ 1210417 h 3959924"/>
              <a:gd name="connsiteX20" fmla="*/ 1302251 w 1856332"/>
              <a:gd name="connsiteY20" fmla="*/ 2536736 h 3959924"/>
              <a:gd name="connsiteX21" fmla="*/ 1351562 w 1856332"/>
              <a:gd name="connsiteY21" fmla="*/ 2536736 h 3959924"/>
              <a:gd name="connsiteX22" fmla="*/ 1612568 w 1856332"/>
              <a:gd name="connsiteY22" fmla="*/ 1852280 h 3959924"/>
              <a:gd name="connsiteX23" fmla="*/ 1775193 w 1856332"/>
              <a:gd name="connsiteY23" fmla="*/ 1779444 h 3959924"/>
              <a:gd name="connsiteX24" fmla="*/ 1848029 w 1856332"/>
              <a:gd name="connsiteY24" fmla="*/ 1942070 h 3959924"/>
              <a:gd name="connsiteX25" fmla="*/ 1389635 w 1856332"/>
              <a:gd name="connsiteY25" fmla="*/ 3144149 h 3959924"/>
              <a:gd name="connsiteX26" fmla="*/ 1228565 w 1856332"/>
              <a:gd name="connsiteY26" fmla="*/ 3214674 h 3959924"/>
              <a:gd name="connsiteX27" fmla="*/ 925623 w 1856332"/>
              <a:gd name="connsiteY27" fmla="*/ 3959924 h 3959924"/>
              <a:gd name="connsiteX28" fmla="*/ 601623 w 1856332"/>
              <a:gd name="connsiteY28" fmla="*/ 3635924 h 3959924"/>
              <a:gd name="connsiteX29" fmla="*/ 925623 w 1856332"/>
              <a:gd name="connsiteY29" fmla="*/ 3311924 h 3959924"/>
              <a:gd name="connsiteX30" fmla="*/ 1249623 w 1856332"/>
              <a:gd name="connsiteY30" fmla="*/ 3635924 h 3959924"/>
              <a:gd name="connsiteX31" fmla="*/ 925623 w 1856332"/>
              <a:gd name="connsiteY31" fmla="*/ 3959924 h 3959924"/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466697 w 1856332"/>
              <a:gd name="connsiteY2" fmla="*/ 3144149 h 3959924"/>
              <a:gd name="connsiteX3" fmla="*/ 8303 w 1856332"/>
              <a:gd name="connsiteY3" fmla="*/ 1942070 h 3959924"/>
              <a:gd name="connsiteX4" fmla="*/ 81139 w 1856332"/>
              <a:gd name="connsiteY4" fmla="*/ 1779444 h 3959924"/>
              <a:gd name="connsiteX5" fmla="*/ 243764 w 1856332"/>
              <a:gd name="connsiteY5" fmla="*/ 1852280 h 3959924"/>
              <a:gd name="connsiteX6" fmla="*/ 504770 w 1856332"/>
              <a:gd name="connsiteY6" fmla="*/ 2536736 h 3959924"/>
              <a:gd name="connsiteX7" fmla="*/ 555637 w 1856332"/>
              <a:gd name="connsiteY7" fmla="*/ 2536736 h 3959924"/>
              <a:gd name="connsiteX8" fmla="*/ 226299 w 1856332"/>
              <a:gd name="connsiteY8" fmla="*/ 1210417 h 3959924"/>
              <a:gd name="connsiteX9" fmla="*/ 551784 w 1856332"/>
              <a:gd name="connsiteY9" fmla="*/ 1210417 h 3959924"/>
              <a:gd name="connsiteX10" fmla="*/ 551784 w 1856332"/>
              <a:gd name="connsiteY10" fmla="*/ 168335 h 3959924"/>
              <a:gd name="connsiteX11" fmla="*/ 720119 w 1856332"/>
              <a:gd name="connsiteY11" fmla="*/ 0 h 3959924"/>
              <a:gd name="connsiteX12" fmla="*/ 888454 w 1856332"/>
              <a:gd name="connsiteY12" fmla="*/ 168335 h 3959924"/>
              <a:gd name="connsiteX13" fmla="*/ 888454 w 1856332"/>
              <a:gd name="connsiteY13" fmla="*/ 1210417 h 3959924"/>
              <a:gd name="connsiteX14" fmla="*/ 968040 w 1856332"/>
              <a:gd name="connsiteY14" fmla="*/ 1210417 h 3959924"/>
              <a:gd name="connsiteX15" fmla="*/ 968040 w 1856332"/>
              <a:gd name="connsiteY15" fmla="*/ 168335 h 3959924"/>
              <a:gd name="connsiteX16" fmla="*/ 1136375 w 1856332"/>
              <a:gd name="connsiteY16" fmla="*/ 0 h 3959924"/>
              <a:gd name="connsiteX17" fmla="*/ 1304710 w 1856332"/>
              <a:gd name="connsiteY17" fmla="*/ 168335 h 3959924"/>
              <a:gd name="connsiteX18" fmla="*/ 1304710 w 1856332"/>
              <a:gd name="connsiteY18" fmla="*/ 1210417 h 3959924"/>
              <a:gd name="connsiteX19" fmla="*/ 1631589 w 1856332"/>
              <a:gd name="connsiteY19" fmla="*/ 1210417 h 3959924"/>
              <a:gd name="connsiteX20" fmla="*/ 1302251 w 1856332"/>
              <a:gd name="connsiteY20" fmla="*/ 2536736 h 3959924"/>
              <a:gd name="connsiteX21" fmla="*/ 1351562 w 1856332"/>
              <a:gd name="connsiteY21" fmla="*/ 2536736 h 3959924"/>
              <a:gd name="connsiteX22" fmla="*/ 1612568 w 1856332"/>
              <a:gd name="connsiteY22" fmla="*/ 1852280 h 3959924"/>
              <a:gd name="connsiteX23" fmla="*/ 1775193 w 1856332"/>
              <a:gd name="connsiteY23" fmla="*/ 1779444 h 3959924"/>
              <a:gd name="connsiteX24" fmla="*/ 1848029 w 1856332"/>
              <a:gd name="connsiteY24" fmla="*/ 1942070 h 3959924"/>
              <a:gd name="connsiteX25" fmla="*/ 1389635 w 1856332"/>
              <a:gd name="connsiteY25" fmla="*/ 3144149 h 3959924"/>
              <a:gd name="connsiteX26" fmla="*/ 1228565 w 1856332"/>
              <a:gd name="connsiteY26" fmla="*/ 3214674 h 3959924"/>
              <a:gd name="connsiteX27" fmla="*/ 925623 w 1856332"/>
              <a:gd name="connsiteY27" fmla="*/ 3959924 h 3959924"/>
              <a:gd name="connsiteX28" fmla="*/ 601623 w 1856332"/>
              <a:gd name="connsiteY28" fmla="*/ 3635924 h 3959924"/>
              <a:gd name="connsiteX29" fmla="*/ 925623 w 1856332"/>
              <a:gd name="connsiteY29" fmla="*/ 3311924 h 3959924"/>
              <a:gd name="connsiteX30" fmla="*/ 1249623 w 1856332"/>
              <a:gd name="connsiteY30" fmla="*/ 3635924 h 3959924"/>
              <a:gd name="connsiteX31" fmla="*/ 925623 w 1856332"/>
              <a:gd name="connsiteY31" fmla="*/ 3959924 h 3959924"/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466697 w 1856332"/>
              <a:gd name="connsiteY2" fmla="*/ 3144149 h 3959924"/>
              <a:gd name="connsiteX3" fmla="*/ 8303 w 1856332"/>
              <a:gd name="connsiteY3" fmla="*/ 1942070 h 3959924"/>
              <a:gd name="connsiteX4" fmla="*/ 81139 w 1856332"/>
              <a:gd name="connsiteY4" fmla="*/ 1779444 h 3959924"/>
              <a:gd name="connsiteX5" fmla="*/ 243764 w 1856332"/>
              <a:gd name="connsiteY5" fmla="*/ 1852280 h 3959924"/>
              <a:gd name="connsiteX6" fmla="*/ 504770 w 1856332"/>
              <a:gd name="connsiteY6" fmla="*/ 2536736 h 3959924"/>
              <a:gd name="connsiteX7" fmla="*/ 555637 w 1856332"/>
              <a:gd name="connsiteY7" fmla="*/ 2536736 h 3959924"/>
              <a:gd name="connsiteX8" fmla="*/ 226299 w 1856332"/>
              <a:gd name="connsiteY8" fmla="*/ 1210417 h 3959924"/>
              <a:gd name="connsiteX9" fmla="*/ 551784 w 1856332"/>
              <a:gd name="connsiteY9" fmla="*/ 1210417 h 3959924"/>
              <a:gd name="connsiteX10" fmla="*/ 551784 w 1856332"/>
              <a:gd name="connsiteY10" fmla="*/ 168335 h 3959924"/>
              <a:gd name="connsiteX11" fmla="*/ 720119 w 1856332"/>
              <a:gd name="connsiteY11" fmla="*/ 0 h 3959924"/>
              <a:gd name="connsiteX12" fmla="*/ 888454 w 1856332"/>
              <a:gd name="connsiteY12" fmla="*/ 168335 h 3959924"/>
              <a:gd name="connsiteX13" fmla="*/ 888454 w 1856332"/>
              <a:gd name="connsiteY13" fmla="*/ 1210417 h 3959924"/>
              <a:gd name="connsiteX14" fmla="*/ 968040 w 1856332"/>
              <a:gd name="connsiteY14" fmla="*/ 1210417 h 3959924"/>
              <a:gd name="connsiteX15" fmla="*/ 968040 w 1856332"/>
              <a:gd name="connsiteY15" fmla="*/ 168335 h 3959924"/>
              <a:gd name="connsiteX16" fmla="*/ 1136375 w 1856332"/>
              <a:gd name="connsiteY16" fmla="*/ 0 h 3959924"/>
              <a:gd name="connsiteX17" fmla="*/ 1304710 w 1856332"/>
              <a:gd name="connsiteY17" fmla="*/ 168335 h 3959924"/>
              <a:gd name="connsiteX18" fmla="*/ 1304710 w 1856332"/>
              <a:gd name="connsiteY18" fmla="*/ 1210417 h 3959924"/>
              <a:gd name="connsiteX19" fmla="*/ 1631589 w 1856332"/>
              <a:gd name="connsiteY19" fmla="*/ 1210417 h 3959924"/>
              <a:gd name="connsiteX20" fmla="*/ 1302251 w 1856332"/>
              <a:gd name="connsiteY20" fmla="*/ 2536736 h 3959924"/>
              <a:gd name="connsiteX21" fmla="*/ 1351562 w 1856332"/>
              <a:gd name="connsiteY21" fmla="*/ 2536736 h 3959924"/>
              <a:gd name="connsiteX22" fmla="*/ 1612568 w 1856332"/>
              <a:gd name="connsiteY22" fmla="*/ 1852280 h 3959924"/>
              <a:gd name="connsiteX23" fmla="*/ 1775193 w 1856332"/>
              <a:gd name="connsiteY23" fmla="*/ 1779444 h 3959924"/>
              <a:gd name="connsiteX24" fmla="*/ 1848029 w 1856332"/>
              <a:gd name="connsiteY24" fmla="*/ 1942070 h 3959924"/>
              <a:gd name="connsiteX25" fmla="*/ 1389635 w 1856332"/>
              <a:gd name="connsiteY25" fmla="*/ 3144149 h 3959924"/>
              <a:gd name="connsiteX26" fmla="*/ 1228565 w 1856332"/>
              <a:gd name="connsiteY26" fmla="*/ 3214674 h 3959924"/>
              <a:gd name="connsiteX27" fmla="*/ 925623 w 1856332"/>
              <a:gd name="connsiteY27" fmla="*/ 3959924 h 3959924"/>
              <a:gd name="connsiteX28" fmla="*/ 601623 w 1856332"/>
              <a:gd name="connsiteY28" fmla="*/ 3635924 h 3959924"/>
              <a:gd name="connsiteX29" fmla="*/ 925623 w 1856332"/>
              <a:gd name="connsiteY29" fmla="*/ 3311924 h 3959924"/>
              <a:gd name="connsiteX30" fmla="*/ 1249623 w 1856332"/>
              <a:gd name="connsiteY30" fmla="*/ 3635924 h 3959924"/>
              <a:gd name="connsiteX31" fmla="*/ 925623 w 1856332"/>
              <a:gd name="connsiteY31" fmla="*/ 3959924 h 39599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1856332" h="3959924">
                <a:moveTo>
                  <a:pt x="1228565" y="3214674"/>
                </a:moveTo>
                <a:lnTo>
                  <a:pt x="622681" y="3214674"/>
                </a:lnTo>
                <a:cubicBezTo>
                  <a:pt x="495703" y="3202920"/>
                  <a:pt x="501057" y="3225622"/>
                  <a:pt x="466697" y="3144149"/>
                </a:cubicBezTo>
                <a:lnTo>
                  <a:pt x="8303" y="1942070"/>
                </a:lnTo>
                <a:cubicBezTo>
                  <a:pt x="-16491" y="1877049"/>
                  <a:pt x="16118" y="1804239"/>
                  <a:pt x="81139" y="1779444"/>
                </a:cubicBezTo>
                <a:cubicBezTo>
                  <a:pt x="146160" y="1754650"/>
                  <a:pt x="218970" y="1787259"/>
                  <a:pt x="243764" y="1852280"/>
                </a:cubicBezTo>
                <a:lnTo>
                  <a:pt x="504770" y="2536736"/>
                </a:lnTo>
                <a:lnTo>
                  <a:pt x="555637" y="2536736"/>
                </a:lnTo>
                <a:lnTo>
                  <a:pt x="226299" y="1210417"/>
                </a:lnTo>
                <a:lnTo>
                  <a:pt x="551784" y="1210417"/>
                </a:lnTo>
                <a:lnTo>
                  <a:pt x="551784" y="168335"/>
                </a:lnTo>
                <a:cubicBezTo>
                  <a:pt x="551784" y="75366"/>
                  <a:pt x="627150" y="0"/>
                  <a:pt x="720119" y="0"/>
                </a:cubicBezTo>
                <a:cubicBezTo>
                  <a:pt x="813088" y="0"/>
                  <a:pt x="888454" y="75366"/>
                  <a:pt x="888454" y="168335"/>
                </a:cubicBezTo>
                <a:lnTo>
                  <a:pt x="888454" y="1210417"/>
                </a:lnTo>
                <a:lnTo>
                  <a:pt x="968040" y="1210417"/>
                </a:lnTo>
                <a:lnTo>
                  <a:pt x="968040" y="168335"/>
                </a:lnTo>
                <a:cubicBezTo>
                  <a:pt x="968040" y="75366"/>
                  <a:pt x="1043406" y="0"/>
                  <a:pt x="1136375" y="0"/>
                </a:cubicBezTo>
                <a:cubicBezTo>
                  <a:pt x="1229344" y="0"/>
                  <a:pt x="1304710" y="75366"/>
                  <a:pt x="1304710" y="168335"/>
                </a:cubicBezTo>
                <a:lnTo>
                  <a:pt x="1304710" y="1210417"/>
                </a:lnTo>
                <a:lnTo>
                  <a:pt x="1631589" y="1210417"/>
                </a:lnTo>
                <a:lnTo>
                  <a:pt x="1302251" y="2536736"/>
                </a:lnTo>
                <a:lnTo>
                  <a:pt x="1351562" y="2536736"/>
                </a:lnTo>
                <a:lnTo>
                  <a:pt x="1612568" y="1852280"/>
                </a:lnTo>
                <a:cubicBezTo>
                  <a:pt x="1637362" y="1787259"/>
                  <a:pt x="1710172" y="1754650"/>
                  <a:pt x="1775193" y="1779444"/>
                </a:cubicBezTo>
                <a:cubicBezTo>
                  <a:pt x="1840214" y="1804239"/>
                  <a:pt x="1872823" y="1877049"/>
                  <a:pt x="1848029" y="1942070"/>
                </a:cubicBezTo>
                <a:lnTo>
                  <a:pt x="1389635" y="3144149"/>
                </a:lnTo>
                <a:cubicBezTo>
                  <a:pt x="1348984" y="3225622"/>
                  <a:pt x="1356391" y="3202920"/>
                  <a:pt x="1228565" y="3214674"/>
                </a:cubicBezTo>
                <a:close/>
                <a:moveTo>
                  <a:pt x="925623" y="3959924"/>
                </a:moveTo>
                <a:cubicBezTo>
                  <a:pt x="746683" y="3959924"/>
                  <a:pt x="601623" y="3814864"/>
                  <a:pt x="601623" y="3635924"/>
                </a:cubicBezTo>
                <a:cubicBezTo>
                  <a:pt x="601623" y="3456984"/>
                  <a:pt x="746683" y="3311924"/>
                  <a:pt x="925623" y="3311924"/>
                </a:cubicBezTo>
                <a:cubicBezTo>
                  <a:pt x="1104563" y="3311924"/>
                  <a:pt x="1249623" y="3456984"/>
                  <a:pt x="1249623" y="3635924"/>
                </a:cubicBezTo>
                <a:cubicBezTo>
                  <a:pt x="1249623" y="3814864"/>
                  <a:pt x="1104563" y="3959924"/>
                  <a:pt x="925623" y="3959924"/>
                </a:cubicBezTo>
                <a:close/>
              </a:path>
            </a:pathLst>
          </a:cu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ko-KR" altLang="en-US" sz="2700"/>
          </a:p>
        </xdr:txBody>
      </xdr:sp>
      <xdr:sp macro="" textlink="เลือกรายเขต!G15">
        <xdr:nvSpPr>
          <xdr:cNvPr id="47" name="กล่องข้อความ 46">
            <a:extLst>
              <a:ext uri="{FF2B5EF4-FFF2-40B4-BE49-F238E27FC236}">
                <a16:creationId xmlns:a16="http://schemas.microsoft.com/office/drawing/2014/main" id="{DA730669-D277-644C-9B61-3D49A6C6C847}"/>
              </a:ext>
            </a:extLst>
          </xdr:cNvPr>
          <xdr:cNvSpPr txBox="1"/>
        </xdr:nvSpPr>
        <xdr:spPr>
          <a:xfrm>
            <a:off x="10479012" y="15084274"/>
            <a:ext cx="1602619" cy="730250"/>
          </a:xfrm>
          <a:prstGeom prst="rect">
            <a:avLst/>
          </a:prstGeom>
          <a:solidFill>
            <a:srgbClr val="FF66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EB23654F-CB57-C648-BD9E-7F01BA73A172}" type="TxLink">
              <a:rPr lang="en-US" sz="3600" b="1" i="0" u="none" strike="noStrike">
                <a:solidFill>
                  <a:schemeClr val="bg1"/>
                </a:solidFill>
                <a:latin typeface="TH SarabunPSK"/>
                <a:cs typeface="TH SarabunPSK"/>
              </a:rPr>
              <a:pPr algn="ctr"/>
              <a:t> 207 </a:t>
            </a:fld>
            <a:r>
              <a:rPr lang="th-TH" sz="3600" b="1" i="0" u="none" strike="noStrike">
                <a:solidFill>
                  <a:schemeClr val="bg1"/>
                </a:solidFill>
                <a:latin typeface="TH SarabunPSK"/>
                <a:cs typeface="TH SarabunPSK"/>
              </a:rPr>
              <a:t>คน</a:t>
            </a:r>
            <a:endParaRPr lang="th-TH" sz="36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oneCell">
    <xdr:from>
      <xdr:col>8</xdr:col>
      <xdr:colOff>186121</xdr:colOff>
      <xdr:row>24</xdr:row>
      <xdr:rowOff>146051</xdr:rowOff>
    </xdr:from>
    <xdr:to>
      <xdr:col>9</xdr:col>
      <xdr:colOff>374650</xdr:colOff>
      <xdr:row>26</xdr:row>
      <xdr:rowOff>207791</xdr:rowOff>
    </xdr:to>
    <xdr:pic>
      <xdr:nvPicPr>
        <xdr:cNvPr id="9" name="รูปภาพ 8">
          <a:extLst>
            <a:ext uri="{FF2B5EF4-FFF2-40B4-BE49-F238E27FC236}">
              <a16:creationId xmlns:a16="http://schemas.microsoft.com/office/drawing/2014/main" id="{7BA933D6-088E-7A47-B5BE-C06861175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48921" y="7194551"/>
          <a:ext cx="804479" cy="82374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26486</xdr:colOff>
      <xdr:row>11</xdr:row>
      <xdr:rowOff>66449</xdr:rowOff>
    </xdr:from>
    <xdr:to>
      <xdr:col>8</xdr:col>
      <xdr:colOff>522941</xdr:colOff>
      <xdr:row>13</xdr:row>
      <xdr:rowOff>224118</xdr:rowOff>
    </xdr:to>
    <xdr:pic>
      <xdr:nvPicPr>
        <xdr:cNvPr id="12" name="รูปภาพ 11">
          <a:extLst>
            <a:ext uri="{FF2B5EF4-FFF2-40B4-BE49-F238E27FC236}">
              <a16:creationId xmlns:a16="http://schemas.microsoft.com/office/drawing/2014/main" id="{C2216C79-E1B7-4B45-B8F8-68391C2C5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duotone>
            <a:prstClr val="black"/>
            <a:srgbClr val="FF66FF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artisticPhotocopy/>
                  </a14:imgEffect>
                  <a14:imgEffect>
                    <a14:colorTemperature colorTemp="115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flipH="1">
          <a:off x="7855662" y="2942625"/>
          <a:ext cx="496455" cy="62084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5</xdr:col>
      <xdr:colOff>1613646</xdr:colOff>
      <xdr:row>11</xdr:row>
      <xdr:rowOff>97120</xdr:rowOff>
    </xdr:from>
    <xdr:to>
      <xdr:col>5</xdr:col>
      <xdr:colOff>2233107</xdr:colOff>
      <xdr:row>14</xdr:row>
      <xdr:rowOff>23837</xdr:rowOff>
    </xdr:to>
    <xdr:pic>
      <xdr:nvPicPr>
        <xdr:cNvPr id="13" name="รูปภาพ 12">
          <a:extLst>
            <a:ext uri="{FF2B5EF4-FFF2-40B4-BE49-F238E27FC236}">
              <a16:creationId xmlns:a16="http://schemas.microsoft.com/office/drawing/2014/main" id="{42792640-B383-0B41-B4BD-4F0B189D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147234" y="2973296"/>
          <a:ext cx="619461" cy="621482"/>
        </a:xfrm>
        <a:prstGeom prst="rect">
          <a:avLst/>
        </a:prstGeom>
      </xdr:spPr>
    </xdr:pic>
    <xdr:clientData/>
  </xdr:twoCellAnchor>
  <xdr:twoCellAnchor>
    <xdr:from>
      <xdr:col>10</xdr:col>
      <xdr:colOff>250638</xdr:colOff>
      <xdr:row>3</xdr:row>
      <xdr:rowOff>151010</xdr:rowOff>
    </xdr:from>
    <xdr:to>
      <xdr:col>14</xdr:col>
      <xdr:colOff>156883</xdr:colOff>
      <xdr:row>19</xdr:row>
      <xdr:rowOff>253996</xdr:rowOff>
    </xdr:to>
    <xdr:grpSp>
      <xdr:nvGrpSpPr>
        <xdr:cNvPr id="52" name="กลุ่ม 51">
          <a:extLst>
            <a:ext uri="{FF2B5EF4-FFF2-40B4-BE49-F238E27FC236}">
              <a16:creationId xmlns:a16="http://schemas.microsoft.com/office/drawing/2014/main" id="{93805B54-37BA-AB45-A25E-23B576C42E61}"/>
            </a:ext>
          </a:extLst>
        </xdr:cNvPr>
        <xdr:cNvGrpSpPr/>
      </xdr:nvGrpSpPr>
      <xdr:grpSpPr>
        <a:xfrm>
          <a:off x="8270688" y="1198760"/>
          <a:ext cx="2535145" cy="4236836"/>
          <a:chOff x="9446932" y="1256661"/>
          <a:chExt cx="2916892" cy="3469607"/>
        </a:xfrm>
      </xdr:grpSpPr>
      <xdr:grpSp>
        <xdr:nvGrpSpPr>
          <xdr:cNvPr id="8" name="กลุ่ม 7">
            <a:extLst>
              <a:ext uri="{FF2B5EF4-FFF2-40B4-BE49-F238E27FC236}">
                <a16:creationId xmlns:a16="http://schemas.microsoft.com/office/drawing/2014/main" id="{22F5E6D1-14B3-5248-9B53-8B8B71C52FA1}"/>
              </a:ext>
            </a:extLst>
          </xdr:cNvPr>
          <xdr:cNvGrpSpPr/>
        </xdr:nvGrpSpPr>
        <xdr:grpSpPr>
          <a:xfrm>
            <a:off x="9446932" y="1256661"/>
            <a:ext cx="2916892" cy="3469607"/>
            <a:chOff x="9461501" y="1204973"/>
            <a:chExt cx="2916144" cy="3436877"/>
          </a:xfrm>
        </xdr:grpSpPr>
        <xdr:graphicFrame macro="">
          <xdr:nvGraphicFramePr>
            <xdr:cNvPr id="10" name="Chart 9">
              <a:extLst>
                <a:ext uri="{FF2B5EF4-FFF2-40B4-BE49-F238E27FC236}">
                  <a16:creationId xmlns:a16="http://schemas.microsoft.com/office/drawing/2014/main" id="{0F80BFF7-565A-4C3A-8062-76FB7F161B63}"/>
                </a:ext>
              </a:extLst>
            </xdr:cNvPr>
            <xdr:cNvGraphicFramePr>
              <a:graphicFrameLocks/>
            </xdr:cNvGraphicFramePr>
          </xdr:nvGraphicFramePr>
          <xdr:xfrm>
            <a:off x="9466927" y="1204973"/>
            <a:ext cx="2910718" cy="291918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  <xdr:sp macro="" textlink="เลือกรายเขต!E5">
          <xdr:nvSpPr>
            <xdr:cNvPr id="44" name="TextBox 32">
              <a:extLst>
                <a:ext uri="{FF2B5EF4-FFF2-40B4-BE49-F238E27FC236}">
                  <a16:creationId xmlns:a16="http://schemas.microsoft.com/office/drawing/2014/main" id="{86F234D0-6498-C445-9D87-0DC104E6AA61}"/>
                </a:ext>
              </a:extLst>
            </xdr:cNvPr>
            <xdr:cNvSpPr txBox="1"/>
          </xdr:nvSpPr>
          <xdr:spPr>
            <a:xfrm>
              <a:off x="9461501" y="4114801"/>
              <a:ext cx="1460499" cy="527049"/>
            </a:xfrm>
            <a:prstGeom prst="rect">
              <a:avLst/>
            </a:prstGeom>
            <a:solidFill>
              <a:srgbClr val="FF66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798A4328-FACA-6346-9D2C-CCA1D6E37E5E}" type="TxLink">
                <a:rPr lang="en-US" sz="2600" b="1" i="0" u="none" strike="noStrike">
                  <a:solidFill>
                    <a:schemeClr val="bg1"/>
                  </a:solidFill>
                  <a:latin typeface="TH SarabunPSK"/>
                  <a:ea typeface="Tahoma"/>
                  <a:cs typeface="TH SarabunPSK"/>
                </a:rPr>
                <a:pPr algn="ctr"/>
                <a:t> 7,684 </a:t>
              </a:fld>
              <a:r>
                <a:rPr lang="th-TH" sz="2600" b="1" i="0" u="none" strike="noStrike">
                  <a:solidFill>
                    <a:schemeClr val="bg1"/>
                  </a:solidFill>
                  <a:latin typeface="TH SarabunPSK"/>
                  <a:ea typeface="Tahoma"/>
                  <a:cs typeface="TH SarabunPSK"/>
                </a:rPr>
                <a:t>คน</a:t>
              </a:r>
              <a:endParaRPr lang="th-TH" sz="2600" b="1">
                <a:solidFill>
                  <a:schemeClr val="bg1"/>
                </a:solidFill>
              </a:endParaRPr>
            </a:p>
          </xdr:txBody>
        </xdr:sp>
        <xdr:sp macro="" textlink="เลือกรายเขต!E4">
          <xdr:nvSpPr>
            <xdr:cNvPr id="49" name="TextBox 32">
              <a:extLst>
                <a:ext uri="{FF2B5EF4-FFF2-40B4-BE49-F238E27FC236}">
                  <a16:creationId xmlns:a16="http://schemas.microsoft.com/office/drawing/2014/main" id="{6D6C4972-31B8-AA41-8A79-B4AA3E88E27D}"/>
                </a:ext>
              </a:extLst>
            </xdr:cNvPr>
            <xdr:cNvSpPr txBox="1"/>
          </xdr:nvSpPr>
          <xdr:spPr>
            <a:xfrm>
              <a:off x="10922001" y="4114801"/>
              <a:ext cx="1454150" cy="527049"/>
            </a:xfrm>
            <a:prstGeom prst="rect">
              <a:avLst/>
            </a:prstGeom>
            <a:solidFill>
              <a:schemeClr val="accent5">
                <a:lumMod val="75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CA38F0F-6A98-874F-91DC-32079F3F6257}" type="TxLink">
                <a:rPr lang="en-US" sz="2600" b="1" i="0" u="none" strike="noStrike">
                  <a:solidFill>
                    <a:schemeClr val="bg1"/>
                  </a:solidFill>
                  <a:latin typeface="TH SarabunPSK"/>
                  <a:ea typeface="Tahoma"/>
                  <a:cs typeface="TH SarabunPSK"/>
                </a:rPr>
                <a:pPr algn="ctr"/>
                <a:t> 6,228 </a:t>
              </a:fld>
              <a:r>
                <a:rPr lang="th-TH" sz="2600" b="1" i="0" u="none" strike="noStrike">
                  <a:solidFill>
                    <a:schemeClr val="bg1"/>
                  </a:solidFill>
                  <a:latin typeface="TH SarabunPSK"/>
                  <a:ea typeface="Tahoma"/>
                  <a:cs typeface="TH SarabunPSK"/>
                </a:rPr>
                <a:t>คน</a:t>
              </a:r>
              <a:endParaRPr lang="th-TH" sz="2600" b="1">
                <a:solidFill>
                  <a:schemeClr val="bg1"/>
                </a:solidFill>
              </a:endParaRPr>
            </a:p>
          </xdr:txBody>
        </xdr:sp>
      </xdr:grpSp>
      <xdr:pic>
        <xdr:nvPicPr>
          <xdr:cNvPr id="50" name="รูปภาพ 49">
            <a:extLst>
              <a:ext uri="{FF2B5EF4-FFF2-40B4-BE49-F238E27FC236}">
                <a16:creationId xmlns:a16="http://schemas.microsoft.com/office/drawing/2014/main" id="{0D717154-EB49-7B49-A8C6-F44D8D728D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>
            <a:lum bright="70000" contrast="-70000"/>
          </a:blip>
          <a:stretch>
            <a:fillRect/>
          </a:stretch>
        </xdr:blipFill>
        <xdr:spPr>
          <a:xfrm>
            <a:off x="10219764" y="2300292"/>
            <a:ext cx="530411" cy="477030"/>
          </a:xfrm>
          <a:prstGeom prst="rect">
            <a:avLst/>
          </a:prstGeom>
        </xdr:spPr>
      </xdr:pic>
      <xdr:pic>
        <xdr:nvPicPr>
          <xdr:cNvPr id="51" name="รูปภาพ 50">
            <a:extLst>
              <a:ext uri="{FF2B5EF4-FFF2-40B4-BE49-F238E27FC236}">
                <a16:creationId xmlns:a16="http://schemas.microsoft.com/office/drawing/2014/main" id="{CC90C103-560A-E244-9041-2CA2FB87E2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lum bright="70000" contrast="-70000"/>
          </a:blip>
          <a:stretch>
            <a:fillRect/>
          </a:stretch>
        </xdr:blipFill>
        <xdr:spPr>
          <a:xfrm flipH="1">
            <a:off x="11118420" y="2288070"/>
            <a:ext cx="580812" cy="476048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1858819</xdr:colOff>
      <xdr:row>35</xdr:row>
      <xdr:rowOff>340593</xdr:rowOff>
    </xdr:from>
    <xdr:to>
      <xdr:col>14</xdr:col>
      <xdr:colOff>196274</xdr:colOff>
      <xdr:row>47</xdr:row>
      <xdr:rowOff>253998</xdr:rowOff>
    </xdr:to>
    <xdr:graphicFrame macro="">
      <xdr:nvGraphicFramePr>
        <xdr:cNvPr id="53" name="แผนภูมิ 52">
          <a:extLst>
            <a:ext uri="{FF2B5EF4-FFF2-40B4-BE49-F238E27FC236}">
              <a16:creationId xmlns:a16="http://schemas.microsoft.com/office/drawing/2014/main" id="{D45CD7FD-68A5-1D47-93AF-E6AE5D1EC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7</xdr:col>
      <xdr:colOff>420389</xdr:colOff>
      <xdr:row>31</xdr:row>
      <xdr:rowOff>287170</xdr:rowOff>
    </xdr:from>
    <xdr:to>
      <xdr:col>8</xdr:col>
      <xdr:colOff>247207</xdr:colOff>
      <xdr:row>33</xdr:row>
      <xdr:rowOff>144657</xdr:rowOff>
    </xdr:to>
    <xdr:pic>
      <xdr:nvPicPr>
        <xdr:cNvPr id="55" name="รูปภาพ 54">
          <a:extLst>
            <a:ext uri="{FF2B5EF4-FFF2-40B4-BE49-F238E27FC236}">
              <a16:creationId xmlns:a16="http://schemas.microsoft.com/office/drawing/2014/main" id="{1D6EF740-3EC7-E448-A089-9DE5509C3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duotone>
            <a:prstClr val="black"/>
            <a:srgbClr val="FF66FF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artisticPhotocopy/>
                  </a14:imgEffect>
                  <a14:imgEffect>
                    <a14:colorTemperature colorTemp="115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flipH="1">
          <a:off x="7567025" y="10031534"/>
          <a:ext cx="496455" cy="61948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5</xdr:col>
      <xdr:colOff>2503324</xdr:colOff>
      <xdr:row>31</xdr:row>
      <xdr:rowOff>271659</xdr:rowOff>
    </xdr:from>
    <xdr:to>
      <xdr:col>6</xdr:col>
      <xdr:colOff>328785</xdr:colOff>
      <xdr:row>33</xdr:row>
      <xdr:rowOff>129103</xdr:rowOff>
    </xdr:to>
    <xdr:pic>
      <xdr:nvPicPr>
        <xdr:cNvPr id="56" name="รูปภาพ 55">
          <a:extLst>
            <a:ext uri="{FF2B5EF4-FFF2-40B4-BE49-F238E27FC236}">
              <a16:creationId xmlns:a16="http://schemas.microsoft.com/office/drawing/2014/main" id="{E6241E87-C21D-854D-984D-5A5C90903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6024688" y="10016023"/>
          <a:ext cx="619461" cy="619444"/>
        </a:xfrm>
        <a:prstGeom prst="rect">
          <a:avLst/>
        </a:prstGeom>
      </xdr:spPr>
    </xdr:pic>
    <xdr:clientData/>
  </xdr:twoCellAnchor>
  <xdr:twoCellAnchor>
    <xdr:from>
      <xdr:col>5</xdr:col>
      <xdr:colOff>312198</xdr:colOff>
      <xdr:row>20</xdr:row>
      <xdr:rowOff>101588</xdr:rowOff>
    </xdr:from>
    <xdr:to>
      <xdr:col>5</xdr:col>
      <xdr:colOff>2184400</xdr:colOff>
      <xdr:row>23</xdr:row>
      <xdr:rowOff>317286</xdr:rowOff>
    </xdr:to>
    <xdr:grpSp>
      <xdr:nvGrpSpPr>
        <xdr:cNvPr id="57" name="Group 36">
          <a:extLst>
            <a:ext uri="{FF2B5EF4-FFF2-40B4-BE49-F238E27FC236}">
              <a16:creationId xmlns:a16="http://schemas.microsoft.com/office/drawing/2014/main" id="{CB99201B-054C-944A-800D-994A59E7E499}"/>
            </a:ext>
          </a:extLst>
        </xdr:cNvPr>
        <xdr:cNvGrpSpPr/>
      </xdr:nvGrpSpPr>
      <xdr:grpSpPr>
        <a:xfrm>
          <a:off x="3398298" y="5673713"/>
          <a:ext cx="1872202" cy="1387273"/>
          <a:chOff x="4543871" y="9215129"/>
          <a:chExt cx="1270966" cy="930314"/>
        </a:xfrm>
      </xdr:grpSpPr>
      <xdr:sp macro="" textlink="เลือกรายเขต!B5">
        <xdr:nvSpPr>
          <xdr:cNvPr id="58" name="TextBox 30">
            <a:extLst>
              <a:ext uri="{FF2B5EF4-FFF2-40B4-BE49-F238E27FC236}">
                <a16:creationId xmlns:a16="http://schemas.microsoft.com/office/drawing/2014/main" id="{B83B50C3-F68F-D643-90A5-D4B0E8C582BC}"/>
              </a:ext>
            </a:extLst>
          </xdr:cNvPr>
          <xdr:cNvSpPr txBox="1"/>
        </xdr:nvSpPr>
        <xdr:spPr>
          <a:xfrm>
            <a:off x="4543871" y="9215129"/>
            <a:ext cx="1270965" cy="626169"/>
          </a:xfrm>
          <a:prstGeom prst="rect">
            <a:avLst/>
          </a:prstGeom>
          <a:solidFill>
            <a:srgbClr val="C2BC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h-TH" sz="2400" b="1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จำนวนชมรมผู้สูงอายุ</a:t>
            </a:r>
          </a:p>
        </xdr:txBody>
      </xdr:sp>
      <xdr:sp macro="" textlink="เลือกรายเขต!C28">
        <xdr:nvSpPr>
          <xdr:cNvPr id="59" name="TextBox 32">
            <a:extLst>
              <a:ext uri="{FF2B5EF4-FFF2-40B4-BE49-F238E27FC236}">
                <a16:creationId xmlns:a16="http://schemas.microsoft.com/office/drawing/2014/main" id="{731F2924-C1E0-624E-9C72-8B1F65BDE224}"/>
              </a:ext>
            </a:extLst>
          </xdr:cNvPr>
          <xdr:cNvSpPr txBox="1"/>
        </xdr:nvSpPr>
        <xdr:spPr>
          <a:xfrm>
            <a:off x="4544786" y="9780966"/>
            <a:ext cx="1270051" cy="364477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BE04E15-D2E3-E44D-843E-6A19E0CF210A}" type="TxLink">
              <a:rPr lang="en-US" sz="4400" b="0" i="0" u="none" strike="noStrike">
                <a:solidFill>
                  <a:srgbClr val="000000"/>
                </a:solidFill>
                <a:latin typeface="TH SarabunPSK"/>
                <a:cs typeface="TH SarabunPSK"/>
              </a:rPr>
              <a:pPr algn="ctr"/>
              <a:t> 6 </a:t>
            </a:fld>
            <a:r>
              <a:rPr lang="th-TH" sz="4400" b="0" i="0" u="none" strike="noStrike">
                <a:solidFill>
                  <a:srgbClr val="000000"/>
                </a:solidFill>
                <a:latin typeface="TH SarabunPSK"/>
                <a:cs typeface="TH SarabunPSK"/>
              </a:rPr>
              <a:t>ชมรม</a:t>
            </a:r>
            <a:endParaRPr lang="en-US" sz="4400" b="1" i="0" u="none" strike="noStrike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</xdr:grpSp>
    <xdr:clientData/>
  </xdr:twoCellAnchor>
  <xdr:twoCellAnchor>
    <xdr:from>
      <xdr:col>5</xdr:col>
      <xdr:colOff>2331497</xdr:colOff>
      <xdr:row>20</xdr:row>
      <xdr:rowOff>114303</xdr:rowOff>
    </xdr:from>
    <xdr:to>
      <xdr:col>8</xdr:col>
      <xdr:colOff>215898</xdr:colOff>
      <xdr:row>23</xdr:row>
      <xdr:rowOff>317503</xdr:rowOff>
    </xdr:to>
    <xdr:grpSp>
      <xdr:nvGrpSpPr>
        <xdr:cNvPr id="60" name="Group 36">
          <a:extLst>
            <a:ext uri="{FF2B5EF4-FFF2-40B4-BE49-F238E27FC236}">
              <a16:creationId xmlns:a16="http://schemas.microsoft.com/office/drawing/2014/main" id="{0E385BB7-DE56-F945-8EF6-7316F671D334}"/>
            </a:ext>
          </a:extLst>
        </xdr:cNvPr>
        <xdr:cNvGrpSpPr/>
      </xdr:nvGrpSpPr>
      <xdr:grpSpPr>
        <a:xfrm>
          <a:off x="5417597" y="5686428"/>
          <a:ext cx="1637251" cy="1374775"/>
          <a:chOff x="4674391" y="8290455"/>
          <a:chExt cx="1598097" cy="2011277"/>
        </a:xfrm>
      </xdr:grpSpPr>
      <xdr:sp macro="" textlink="เลือกรายเขต!B5">
        <xdr:nvSpPr>
          <xdr:cNvPr id="61" name="TextBox 30">
            <a:extLst>
              <a:ext uri="{FF2B5EF4-FFF2-40B4-BE49-F238E27FC236}">
                <a16:creationId xmlns:a16="http://schemas.microsoft.com/office/drawing/2014/main" id="{756BD3A7-0FB5-DC4F-A24B-DE3972BD0D75}"/>
              </a:ext>
            </a:extLst>
          </xdr:cNvPr>
          <xdr:cNvSpPr txBox="1"/>
        </xdr:nvSpPr>
        <xdr:spPr>
          <a:xfrm>
            <a:off x="4674391" y="8290455"/>
            <a:ext cx="1598096" cy="1358108"/>
          </a:xfrm>
          <a:prstGeom prst="rect">
            <a:avLst/>
          </a:prstGeom>
          <a:solidFill>
            <a:srgbClr val="C2BC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h-TH" sz="2400" b="1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จำนวนสมาชิกในชมรมผู้สูงอายุ</a:t>
            </a:r>
          </a:p>
        </xdr:txBody>
      </xdr:sp>
      <xdr:sp macro="" textlink="เลือกรายเขต!C29">
        <xdr:nvSpPr>
          <xdr:cNvPr id="62" name="TextBox 32">
            <a:extLst>
              <a:ext uri="{FF2B5EF4-FFF2-40B4-BE49-F238E27FC236}">
                <a16:creationId xmlns:a16="http://schemas.microsoft.com/office/drawing/2014/main" id="{D5841FD8-865E-3741-B540-8ABA4FB724C9}"/>
              </a:ext>
            </a:extLst>
          </xdr:cNvPr>
          <xdr:cNvSpPr txBox="1"/>
        </xdr:nvSpPr>
        <xdr:spPr>
          <a:xfrm>
            <a:off x="4675306" y="9499208"/>
            <a:ext cx="1597182" cy="802524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1A253539-94B4-E54C-AD56-914BC20DCEE4}" type="TxLink">
              <a:rPr lang="en-US" sz="4400" b="0" i="0" u="none" strike="noStrike">
                <a:solidFill>
                  <a:srgbClr val="000000"/>
                </a:solidFill>
                <a:latin typeface="TH SarabunPSK"/>
                <a:cs typeface="TH SarabunPSK"/>
              </a:rPr>
              <a:pPr algn="ctr"/>
              <a:t> 213 </a:t>
            </a:fld>
            <a:r>
              <a:rPr lang="th-TH" sz="4400" b="0" i="0" u="none" strike="noStrike">
                <a:solidFill>
                  <a:srgbClr val="000000"/>
                </a:solidFill>
                <a:latin typeface="TH SarabunPSK"/>
                <a:cs typeface="TH SarabunPSK"/>
              </a:rPr>
              <a:t>คน</a:t>
            </a:r>
            <a:endParaRPr lang="en-US" sz="4400" b="1" i="0" u="none" strike="noStrike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</xdr:grpSp>
    <xdr:clientData/>
  </xdr:twoCellAnchor>
  <xdr:twoCellAnchor>
    <xdr:from>
      <xdr:col>5</xdr:col>
      <xdr:colOff>426500</xdr:colOff>
      <xdr:row>23</xdr:row>
      <xdr:rowOff>317500</xdr:rowOff>
    </xdr:from>
    <xdr:to>
      <xdr:col>8</xdr:col>
      <xdr:colOff>88899</xdr:colOff>
      <xdr:row>26</xdr:row>
      <xdr:rowOff>215901</xdr:rowOff>
    </xdr:to>
    <xdr:grpSp>
      <xdr:nvGrpSpPr>
        <xdr:cNvPr id="63" name="Group 36">
          <a:extLst>
            <a:ext uri="{FF2B5EF4-FFF2-40B4-BE49-F238E27FC236}">
              <a16:creationId xmlns:a16="http://schemas.microsoft.com/office/drawing/2014/main" id="{80CC281D-C2E7-C44D-B3D9-C4E6A66FE1A2}"/>
            </a:ext>
          </a:extLst>
        </xdr:cNvPr>
        <xdr:cNvGrpSpPr/>
      </xdr:nvGrpSpPr>
      <xdr:grpSpPr>
        <a:xfrm>
          <a:off x="3512600" y="7061200"/>
          <a:ext cx="3415249" cy="1069976"/>
          <a:chOff x="7951092" y="10179818"/>
          <a:chExt cx="1495545" cy="2732704"/>
        </a:xfrm>
      </xdr:grpSpPr>
      <xdr:sp macro="" textlink="เลือกรายเขต!B5">
        <xdr:nvSpPr>
          <xdr:cNvPr id="64" name="TextBox 30">
            <a:extLst>
              <a:ext uri="{FF2B5EF4-FFF2-40B4-BE49-F238E27FC236}">
                <a16:creationId xmlns:a16="http://schemas.microsoft.com/office/drawing/2014/main" id="{A19DF3BC-6E7F-8748-88CA-CB60548CD06E}"/>
              </a:ext>
            </a:extLst>
          </xdr:cNvPr>
          <xdr:cNvSpPr txBox="1"/>
        </xdr:nvSpPr>
        <xdr:spPr>
          <a:xfrm>
            <a:off x="7951092" y="10179818"/>
            <a:ext cx="1495545" cy="1377853"/>
          </a:xfrm>
          <a:prstGeom prst="rect">
            <a:avLst/>
          </a:prstGeom>
          <a:solidFill>
            <a:srgbClr val="C2BC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h-TH" sz="2400" b="1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ร้อยละผู้เป็นสมาชิกชมรมต่อผู้สูงอายุทั้งหมด</a:t>
            </a:r>
          </a:p>
        </xdr:txBody>
      </xdr:sp>
      <xdr:sp macro="" textlink="เลือกรายเขต!D29">
        <xdr:nvSpPr>
          <xdr:cNvPr id="65" name="TextBox 32">
            <a:extLst>
              <a:ext uri="{FF2B5EF4-FFF2-40B4-BE49-F238E27FC236}">
                <a16:creationId xmlns:a16="http://schemas.microsoft.com/office/drawing/2014/main" id="{3B3ACF29-5171-8D40-B91E-AD8E1CD354D6}"/>
              </a:ext>
            </a:extLst>
          </xdr:cNvPr>
          <xdr:cNvSpPr txBox="1"/>
        </xdr:nvSpPr>
        <xdr:spPr>
          <a:xfrm>
            <a:off x="7952007" y="11364796"/>
            <a:ext cx="1494629" cy="1547726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AA155C51-4103-104F-9D39-03772959F2D5}" type="TxLink">
              <a:rPr lang="en-US" sz="4400" b="0" i="0" u="none" strike="noStrike">
                <a:solidFill>
                  <a:srgbClr val="000000"/>
                </a:solidFill>
                <a:latin typeface="TH SarabunPSK"/>
                <a:cs typeface="TH SarabunPSK"/>
              </a:rPr>
              <a:pPr algn="ctr"/>
              <a:t> 1.53 </a:t>
            </a:fld>
            <a:r>
              <a:rPr lang="en-US" sz="4400" b="0" i="0" u="none" strike="noStrike">
                <a:solidFill>
                  <a:srgbClr val="000000"/>
                </a:solidFill>
                <a:latin typeface="TH SarabunPSK"/>
                <a:cs typeface="TH SarabunPSK"/>
              </a:rPr>
              <a:t>%</a:t>
            </a:r>
            <a:endParaRPr lang="en-US" sz="4400" b="1" i="0" u="none" strike="noStrike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</xdr:grpSp>
    <xdr:clientData/>
  </xdr:twoCellAnchor>
  <xdr:twoCellAnchor>
    <xdr:from>
      <xdr:col>6</xdr:col>
      <xdr:colOff>804926</xdr:colOff>
      <xdr:row>50</xdr:row>
      <xdr:rowOff>187244</xdr:rowOff>
    </xdr:from>
    <xdr:to>
      <xdr:col>10</xdr:col>
      <xdr:colOff>152812</xdr:colOff>
      <xdr:row>55</xdr:row>
      <xdr:rowOff>132815</xdr:rowOff>
    </xdr:to>
    <xdr:grpSp>
      <xdr:nvGrpSpPr>
        <xdr:cNvPr id="66" name="กลุ่ม 65">
          <a:extLst>
            <a:ext uri="{FF2B5EF4-FFF2-40B4-BE49-F238E27FC236}">
              <a16:creationId xmlns:a16="http://schemas.microsoft.com/office/drawing/2014/main" id="{37128822-02AF-2849-890F-F895D2496581}"/>
            </a:ext>
          </a:extLst>
        </xdr:cNvPr>
        <xdr:cNvGrpSpPr/>
      </xdr:nvGrpSpPr>
      <xdr:grpSpPr>
        <a:xfrm>
          <a:off x="6243701" y="17475119"/>
          <a:ext cx="1929161" cy="1898196"/>
          <a:chOff x="4411097" y="13162027"/>
          <a:chExt cx="2084184" cy="1850571"/>
        </a:xfrm>
      </xdr:grpSpPr>
      <xdr:sp macro="" textlink="">
        <xdr:nvSpPr>
          <xdr:cNvPr id="67" name="TextBox 33">
            <a:extLst>
              <a:ext uri="{FF2B5EF4-FFF2-40B4-BE49-F238E27FC236}">
                <a16:creationId xmlns:a16="http://schemas.microsoft.com/office/drawing/2014/main" id="{D853476A-FDE9-6544-BA4A-9BA4FC42026B}"/>
              </a:ext>
            </a:extLst>
          </xdr:cNvPr>
          <xdr:cNvSpPr txBox="1"/>
        </xdr:nvSpPr>
        <xdr:spPr>
          <a:xfrm>
            <a:off x="4412776" y="13162027"/>
            <a:ext cx="2082505" cy="942670"/>
          </a:xfrm>
          <a:prstGeom prst="rect">
            <a:avLst/>
          </a:prstGeom>
          <a:solidFill>
            <a:schemeClr val="accent1">
              <a:lumMod val="7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th-TH" sz="2400" b="1">
                <a:solidFill>
                  <a:schemeClr val="bg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จำนวนผู้สูงอายุที่รับเบี้ยยังชีพผู้พิการ</a:t>
            </a:r>
          </a:p>
        </xdr:txBody>
      </xdr:sp>
      <xdr:sp macro="" textlink="เลือกรายเขต!C15">
        <xdr:nvSpPr>
          <xdr:cNvPr id="68" name="TextBox 34">
            <a:extLst>
              <a:ext uri="{FF2B5EF4-FFF2-40B4-BE49-F238E27FC236}">
                <a16:creationId xmlns:a16="http://schemas.microsoft.com/office/drawing/2014/main" id="{6CA99F87-1474-984E-8A39-B705DDE2EB3C}"/>
              </a:ext>
            </a:extLst>
          </xdr:cNvPr>
          <xdr:cNvSpPr txBox="1"/>
        </xdr:nvSpPr>
        <xdr:spPr>
          <a:xfrm>
            <a:off x="4411097" y="14108029"/>
            <a:ext cx="2083794" cy="904569"/>
          </a:xfrm>
          <a:prstGeom prst="rect">
            <a:avLst/>
          </a:prstGeom>
          <a:solidFill>
            <a:schemeClr val="accent2">
              <a:lumMod val="7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B61B513B-EBE0-834A-9733-19EB2D47711A}" type="TxLink">
              <a:rPr lang="en-US" sz="4400" b="1" i="0" u="none" strike="noStrike">
                <a:solidFill>
                  <a:srgbClr val="000000"/>
                </a:solidFill>
                <a:latin typeface="TH SarabunPSK"/>
                <a:ea typeface="Tahoma"/>
                <a:cs typeface="TH SarabunPSK"/>
              </a:rPr>
              <a:pPr algn="ctr"/>
              <a:t> 471 </a:t>
            </a:fld>
            <a:r>
              <a:rPr lang="th-TH" sz="4400" b="1" i="0" u="none" strike="noStrike">
                <a:solidFill>
                  <a:srgbClr val="000000"/>
                </a:solidFill>
                <a:latin typeface="TH SarabunPSK"/>
                <a:ea typeface="Tahoma"/>
                <a:cs typeface="TH SarabunPSK"/>
              </a:rPr>
              <a:t>คน</a:t>
            </a:r>
            <a:endParaRPr lang="th-TH" sz="44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5</xdr:col>
      <xdr:colOff>2201926</xdr:colOff>
      <xdr:row>58</xdr:row>
      <xdr:rowOff>161844</xdr:rowOff>
    </xdr:from>
    <xdr:to>
      <xdr:col>8</xdr:col>
      <xdr:colOff>102012</xdr:colOff>
      <xdr:row>63</xdr:row>
      <xdr:rowOff>107415</xdr:rowOff>
    </xdr:to>
    <xdr:grpSp>
      <xdr:nvGrpSpPr>
        <xdr:cNvPr id="70" name="กลุ่ม 69">
          <a:extLst>
            <a:ext uri="{FF2B5EF4-FFF2-40B4-BE49-F238E27FC236}">
              <a16:creationId xmlns:a16="http://schemas.microsoft.com/office/drawing/2014/main" id="{96A12757-8711-EE4A-A9E9-22ACB17D45F5}"/>
            </a:ext>
          </a:extLst>
        </xdr:cNvPr>
        <xdr:cNvGrpSpPr/>
      </xdr:nvGrpSpPr>
      <xdr:grpSpPr>
        <a:xfrm>
          <a:off x="5288026" y="20573919"/>
          <a:ext cx="1652936" cy="1898196"/>
          <a:chOff x="4411097" y="13162027"/>
          <a:chExt cx="2084184" cy="1850571"/>
        </a:xfrm>
      </xdr:grpSpPr>
      <xdr:sp macro="" textlink="">
        <xdr:nvSpPr>
          <xdr:cNvPr id="71" name="TextBox 33">
            <a:extLst>
              <a:ext uri="{FF2B5EF4-FFF2-40B4-BE49-F238E27FC236}">
                <a16:creationId xmlns:a16="http://schemas.microsoft.com/office/drawing/2014/main" id="{8D999913-29B6-074C-A9D8-78A0DB4DCA70}"/>
              </a:ext>
            </a:extLst>
          </xdr:cNvPr>
          <xdr:cNvSpPr txBox="1"/>
        </xdr:nvSpPr>
        <xdr:spPr>
          <a:xfrm>
            <a:off x="4412776" y="13162027"/>
            <a:ext cx="2082505" cy="942670"/>
          </a:xfrm>
          <a:prstGeom prst="rect">
            <a:avLst/>
          </a:prstGeom>
          <a:solidFill>
            <a:schemeClr val="accent1">
              <a:lumMod val="7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th-TH" sz="2400" b="1">
                <a:solidFill>
                  <a:schemeClr val="bg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ร้อยละของผู้สูงอายุ</a:t>
            </a:r>
            <a:r>
              <a:rPr lang="th-TH" sz="2400" b="1" baseline="0">
                <a:solidFill>
                  <a:schemeClr val="bg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อยู่ในภาวะพึ่งพิง</a:t>
            </a:r>
          </a:p>
          <a:p>
            <a:pPr algn="ctr"/>
            <a:endParaRPr lang="th-TH" sz="2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เลือกรายเขต!I19">
        <xdr:nvSpPr>
          <xdr:cNvPr id="72" name="TextBox 34">
            <a:extLst>
              <a:ext uri="{FF2B5EF4-FFF2-40B4-BE49-F238E27FC236}">
                <a16:creationId xmlns:a16="http://schemas.microsoft.com/office/drawing/2014/main" id="{69B65319-FADE-304F-9744-5B4566380BEA}"/>
              </a:ext>
            </a:extLst>
          </xdr:cNvPr>
          <xdr:cNvSpPr txBox="1"/>
        </xdr:nvSpPr>
        <xdr:spPr>
          <a:xfrm>
            <a:off x="4411097" y="14108029"/>
            <a:ext cx="2083794" cy="904569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DCD8834E-F6E9-D34F-87B8-AE990810C9B1}" type="TxLink">
              <a:rPr lang="en-US" sz="4400" b="1" i="0" u="none" strike="noStrike">
                <a:solidFill>
                  <a:srgbClr val="000000"/>
                </a:solidFill>
                <a:latin typeface="TH SarabunPSK"/>
                <a:ea typeface="Tahoma"/>
                <a:cs typeface="TH SarabunPSK"/>
              </a:rPr>
              <a:pPr algn="ctr"/>
              <a:t> 0.40 </a:t>
            </a:fld>
            <a:r>
              <a:rPr lang="en-US" sz="4400" b="1" i="0" u="none" strike="noStrike">
                <a:solidFill>
                  <a:srgbClr val="000000"/>
                </a:solidFill>
                <a:latin typeface="TH SarabunPSK"/>
                <a:ea typeface="Tahoma"/>
                <a:cs typeface="TH SarabunPSK"/>
              </a:rPr>
              <a:t>%</a:t>
            </a:r>
            <a:endParaRPr lang="th-TH" sz="44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5</xdr:col>
      <xdr:colOff>2201926</xdr:colOff>
      <xdr:row>63</xdr:row>
      <xdr:rowOff>187244</xdr:rowOff>
    </xdr:from>
    <xdr:to>
      <xdr:col>8</xdr:col>
      <xdr:colOff>102012</xdr:colOff>
      <xdr:row>68</xdr:row>
      <xdr:rowOff>132815</xdr:rowOff>
    </xdr:to>
    <xdr:grpSp>
      <xdr:nvGrpSpPr>
        <xdr:cNvPr id="73" name="กลุ่ม 72">
          <a:extLst>
            <a:ext uri="{FF2B5EF4-FFF2-40B4-BE49-F238E27FC236}">
              <a16:creationId xmlns:a16="http://schemas.microsoft.com/office/drawing/2014/main" id="{4961E3B5-3A5D-7B45-976A-FCB76D3DA57E}"/>
            </a:ext>
          </a:extLst>
        </xdr:cNvPr>
        <xdr:cNvGrpSpPr/>
      </xdr:nvGrpSpPr>
      <xdr:grpSpPr>
        <a:xfrm>
          <a:off x="5288026" y="22551944"/>
          <a:ext cx="1652936" cy="1898196"/>
          <a:chOff x="4411097" y="13162027"/>
          <a:chExt cx="2084184" cy="1850571"/>
        </a:xfrm>
      </xdr:grpSpPr>
      <xdr:sp macro="" textlink="">
        <xdr:nvSpPr>
          <xdr:cNvPr id="74" name="TextBox 33">
            <a:extLst>
              <a:ext uri="{FF2B5EF4-FFF2-40B4-BE49-F238E27FC236}">
                <a16:creationId xmlns:a16="http://schemas.microsoft.com/office/drawing/2014/main" id="{B261ED53-D05C-0B48-992F-0A295DBE3B00}"/>
              </a:ext>
            </a:extLst>
          </xdr:cNvPr>
          <xdr:cNvSpPr txBox="1"/>
        </xdr:nvSpPr>
        <xdr:spPr>
          <a:xfrm>
            <a:off x="4412776" y="13162027"/>
            <a:ext cx="2082505" cy="942670"/>
          </a:xfrm>
          <a:prstGeom prst="rect">
            <a:avLst/>
          </a:prstGeom>
          <a:solidFill>
            <a:schemeClr val="accent1">
              <a:lumMod val="7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th-TH" sz="2400" b="1">
                <a:solidFill>
                  <a:schemeClr val="bg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จำนวนผู้สูงอายุที่อยู่ในภาวะพึ่งพิง</a:t>
            </a:r>
          </a:p>
        </xdr:txBody>
      </xdr:sp>
      <xdr:sp macro="" textlink="เลือกรายเขต!C19">
        <xdr:nvSpPr>
          <xdr:cNvPr id="75" name="TextBox 34">
            <a:extLst>
              <a:ext uri="{FF2B5EF4-FFF2-40B4-BE49-F238E27FC236}">
                <a16:creationId xmlns:a16="http://schemas.microsoft.com/office/drawing/2014/main" id="{C0C34177-1683-074E-B405-7C2AD0D23319}"/>
              </a:ext>
            </a:extLst>
          </xdr:cNvPr>
          <xdr:cNvSpPr txBox="1"/>
        </xdr:nvSpPr>
        <xdr:spPr>
          <a:xfrm>
            <a:off x="4411097" y="14108029"/>
            <a:ext cx="2083794" cy="904569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4D9DE08F-1BFE-584D-885F-DAE774D53E67}" type="TxLink">
              <a:rPr lang="en-US" sz="4400" b="1" i="0" u="none" strike="noStrike">
                <a:solidFill>
                  <a:srgbClr val="000000"/>
                </a:solidFill>
                <a:latin typeface="TH SarabunPSK"/>
                <a:ea typeface="Tahoma"/>
                <a:cs typeface="TH SarabunPSK"/>
              </a:rPr>
              <a:pPr algn="ctr"/>
              <a:t> 55 </a:t>
            </a:fld>
            <a:r>
              <a:rPr lang="th-TH" sz="4400" b="1" i="0" u="none" strike="noStrike" baseline="0">
                <a:solidFill>
                  <a:srgbClr val="000000"/>
                </a:solidFill>
                <a:latin typeface="TH SarabunPSK"/>
                <a:ea typeface="Tahoma"/>
                <a:cs typeface="TH SarabunPSK"/>
              </a:rPr>
              <a:t>คน</a:t>
            </a:r>
            <a:endParaRPr lang="th-TH" sz="44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5</xdr:col>
      <xdr:colOff>130626</xdr:colOff>
      <xdr:row>58</xdr:row>
      <xdr:rowOff>304799</xdr:rowOff>
    </xdr:from>
    <xdr:to>
      <xdr:col>5</xdr:col>
      <xdr:colOff>2095498</xdr:colOff>
      <xdr:row>67</xdr:row>
      <xdr:rowOff>183570</xdr:rowOff>
    </xdr:to>
    <xdr:grpSp>
      <xdr:nvGrpSpPr>
        <xdr:cNvPr id="76" name="กลุ่ม 75">
          <a:extLst>
            <a:ext uri="{FF2B5EF4-FFF2-40B4-BE49-F238E27FC236}">
              <a16:creationId xmlns:a16="http://schemas.microsoft.com/office/drawing/2014/main" id="{D515991A-ABFE-104A-843D-580AD008F0A3}"/>
            </a:ext>
          </a:extLst>
        </xdr:cNvPr>
        <xdr:cNvGrpSpPr/>
      </xdr:nvGrpSpPr>
      <xdr:grpSpPr>
        <a:xfrm>
          <a:off x="3216726" y="20716874"/>
          <a:ext cx="1964872" cy="3393496"/>
          <a:chOff x="10150929" y="12364356"/>
          <a:chExt cx="2032089" cy="3513666"/>
        </a:xfrm>
      </xdr:grpSpPr>
      <xdr:sp macro="" textlink="">
        <xdr:nvSpPr>
          <xdr:cNvPr id="77" name="กล่องข้อความ 76">
            <a:extLst>
              <a:ext uri="{FF2B5EF4-FFF2-40B4-BE49-F238E27FC236}">
                <a16:creationId xmlns:a16="http://schemas.microsoft.com/office/drawing/2014/main" id="{C5471F62-B345-9649-95A4-1E7B65D43A8F}"/>
              </a:ext>
            </a:extLst>
          </xdr:cNvPr>
          <xdr:cNvSpPr txBox="1"/>
        </xdr:nvSpPr>
        <xdr:spPr>
          <a:xfrm>
            <a:off x="10150929" y="12364356"/>
            <a:ext cx="2032089" cy="3513666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100"/>
          </a:p>
        </xdr:txBody>
      </xdr:sp>
      <xdr:sp macro="" textlink="">
        <xdr:nvSpPr>
          <xdr:cNvPr id="78" name="Round Same Side Corner Rectangle 8">
            <a:extLst>
              <a:ext uri="{FF2B5EF4-FFF2-40B4-BE49-F238E27FC236}">
                <a16:creationId xmlns:a16="http://schemas.microsoft.com/office/drawing/2014/main" id="{F57841F0-1262-9D49-8014-72B986E1D4EF}"/>
              </a:ext>
            </a:extLst>
          </xdr:cNvPr>
          <xdr:cNvSpPr/>
        </xdr:nvSpPr>
        <xdr:spPr>
          <a:xfrm>
            <a:off x="10997786" y="12491357"/>
            <a:ext cx="343201" cy="824009"/>
          </a:xfrm>
          <a:custGeom>
            <a:avLst/>
            <a:gdLst>
              <a:gd name="connsiteX0" fmla="*/ 280204 w 1489775"/>
              <a:gd name="connsiteY0" fmla="*/ 750754 h 3923699"/>
              <a:gd name="connsiteX1" fmla="*/ 1209570 w 1489775"/>
              <a:gd name="connsiteY1" fmla="*/ 750754 h 3923699"/>
              <a:gd name="connsiteX2" fmla="*/ 1489774 w 1489775"/>
              <a:gd name="connsiteY2" fmla="*/ 1030958 h 3923699"/>
              <a:gd name="connsiteX3" fmla="*/ 1489774 w 1489775"/>
              <a:gd name="connsiteY3" fmla="*/ 1293518 h 3923699"/>
              <a:gd name="connsiteX4" fmla="*/ 1489775 w 1489775"/>
              <a:gd name="connsiteY4" fmla="*/ 1293518 h 3923699"/>
              <a:gd name="connsiteX5" fmla="*/ 1489775 w 1489775"/>
              <a:gd name="connsiteY5" fmla="*/ 2063902 h 3923699"/>
              <a:gd name="connsiteX6" fmla="*/ 1345759 w 1489775"/>
              <a:gd name="connsiteY6" fmla="*/ 2207918 h 3923699"/>
              <a:gd name="connsiteX7" fmla="*/ 1201743 w 1489775"/>
              <a:gd name="connsiteY7" fmla="*/ 2063902 h 3923699"/>
              <a:gd name="connsiteX8" fmla="*/ 1201743 w 1489775"/>
              <a:gd name="connsiteY8" fmla="*/ 1390678 h 3923699"/>
              <a:gd name="connsiteX9" fmla="*/ 1158887 w 1489775"/>
              <a:gd name="connsiteY9" fmla="*/ 1390678 h 3923699"/>
              <a:gd name="connsiteX10" fmla="*/ 1158887 w 1489775"/>
              <a:gd name="connsiteY10" fmla="*/ 2305078 h 3923699"/>
              <a:gd name="connsiteX11" fmla="*/ 1151853 w 1489775"/>
              <a:gd name="connsiteY11" fmla="*/ 3743699 h 3923699"/>
              <a:gd name="connsiteX12" fmla="*/ 971853 w 1489775"/>
              <a:gd name="connsiteY12" fmla="*/ 3923699 h 3923699"/>
              <a:gd name="connsiteX13" fmla="*/ 791853 w 1489775"/>
              <a:gd name="connsiteY13" fmla="*/ 3743699 h 3923699"/>
              <a:gd name="connsiteX14" fmla="*/ 791853 w 1489775"/>
              <a:gd name="connsiteY14" fmla="*/ 2305078 h 3923699"/>
              <a:gd name="connsiteX15" fmla="*/ 683854 w 1489775"/>
              <a:gd name="connsiteY15" fmla="*/ 2305078 h 3923699"/>
              <a:gd name="connsiteX16" fmla="*/ 683854 w 1489775"/>
              <a:gd name="connsiteY16" fmla="*/ 3743698 h 3923699"/>
              <a:gd name="connsiteX17" fmla="*/ 503854 w 1489775"/>
              <a:gd name="connsiteY17" fmla="*/ 3923698 h 3923699"/>
              <a:gd name="connsiteX18" fmla="*/ 323854 w 1489775"/>
              <a:gd name="connsiteY18" fmla="*/ 3743698 h 3923699"/>
              <a:gd name="connsiteX19" fmla="*/ 323854 w 1489775"/>
              <a:gd name="connsiteY19" fmla="*/ 2238914 h 3923699"/>
              <a:gd name="connsiteX20" fmla="*/ 330887 w 1489775"/>
              <a:gd name="connsiteY20" fmla="*/ 2238914 h 3923699"/>
              <a:gd name="connsiteX21" fmla="*/ 330887 w 1489775"/>
              <a:gd name="connsiteY21" fmla="*/ 1390678 h 3923699"/>
              <a:gd name="connsiteX22" fmla="*/ 288033 w 1489775"/>
              <a:gd name="connsiteY22" fmla="*/ 1390678 h 3923699"/>
              <a:gd name="connsiteX23" fmla="*/ 288033 w 1489775"/>
              <a:gd name="connsiteY23" fmla="*/ 2063902 h 3923699"/>
              <a:gd name="connsiteX24" fmla="*/ 144017 w 1489775"/>
              <a:gd name="connsiteY24" fmla="*/ 2207918 h 3923699"/>
              <a:gd name="connsiteX25" fmla="*/ 1 w 1489775"/>
              <a:gd name="connsiteY25" fmla="*/ 2063902 h 3923699"/>
              <a:gd name="connsiteX26" fmla="*/ 1 w 1489775"/>
              <a:gd name="connsiteY26" fmla="*/ 1390678 h 3923699"/>
              <a:gd name="connsiteX27" fmla="*/ 0 w 1489775"/>
              <a:gd name="connsiteY27" fmla="*/ 1390678 h 3923699"/>
              <a:gd name="connsiteX28" fmla="*/ 0 w 1489775"/>
              <a:gd name="connsiteY28" fmla="*/ 1030958 h 3923699"/>
              <a:gd name="connsiteX29" fmla="*/ 280204 w 1489775"/>
              <a:gd name="connsiteY29" fmla="*/ 750754 h 3923699"/>
              <a:gd name="connsiteX30" fmla="*/ 744888 w 1489775"/>
              <a:gd name="connsiteY30" fmla="*/ 0 h 3923699"/>
              <a:gd name="connsiteX31" fmla="*/ 1082199 w 1489775"/>
              <a:gd name="connsiteY31" fmla="*/ 337311 h 3923699"/>
              <a:gd name="connsiteX32" fmla="*/ 744888 w 1489775"/>
              <a:gd name="connsiteY32" fmla="*/ 674622 h 3923699"/>
              <a:gd name="connsiteX33" fmla="*/ 407577 w 1489775"/>
              <a:gd name="connsiteY33" fmla="*/ 337311 h 3923699"/>
              <a:gd name="connsiteX34" fmla="*/ 744888 w 1489775"/>
              <a:gd name="connsiteY34" fmla="*/ 0 h 3923699"/>
              <a:gd name="connsiteX0" fmla="*/ 280204 w 1489775"/>
              <a:gd name="connsiteY0" fmla="*/ 750754 h 3923699"/>
              <a:gd name="connsiteX1" fmla="*/ 1209570 w 1489775"/>
              <a:gd name="connsiteY1" fmla="*/ 750754 h 3923699"/>
              <a:gd name="connsiteX2" fmla="*/ 1489774 w 1489775"/>
              <a:gd name="connsiteY2" fmla="*/ 1030958 h 3923699"/>
              <a:gd name="connsiteX3" fmla="*/ 1489774 w 1489775"/>
              <a:gd name="connsiteY3" fmla="*/ 1293518 h 3923699"/>
              <a:gd name="connsiteX4" fmla="*/ 1489775 w 1489775"/>
              <a:gd name="connsiteY4" fmla="*/ 1293518 h 3923699"/>
              <a:gd name="connsiteX5" fmla="*/ 1489775 w 1489775"/>
              <a:gd name="connsiteY5" fmla="*/ 2063902 h 3923699"/>
              <a:gd name="connsiteX6" fmla="*/ 1345759 w 1489775"/>
              <a:gd name="connsiteY6" fmla="*/ 2207918 h 3923699"/>
              <a:gd name="connsiteX7" fmla="*/ 1201743 w 1489775"/>
              <a:gd name="connsiteY7" fmla="*/ 2063902 h 3923699"/>
              <a:gd name="connsiteX8" fmla="*/ 1201743 w 1489775"/>
              <a:gd name="connsiteY8" fmla="*/ 1390678 h 3923699"/>
              <a:gd name="connsiteX9" fmla="*/ 1158887 w 1489775"/>
              <a:gd name="connsiteY9" fmla="*/ 1390678 h 3923699"/>
              <a:gd name="connsiteX10" fmla="*/ 1151853 w 1489775"/>
              <a:gd name="connsiteY10" fmla="*/ 3743699 h 3923699"/>
              <a:gd name="connsiteX11" fmla="*/ 971853 w 1489775"/>
              <a:gd name="connsiteY11" fmla="*/ 3923699 h 3923699"/>
              <a:gd name="connsiteX12" fmla="*/ 791853 w 1489775"/>
              <a:gd name="connsiteY12" fmla="*/ 3743699 h 3923699"/>
              <a:gd name="connsiteX13" fmla="*/ 791853 w 1489775"/>
              <a:gd name="connsiteY13" fmla="*/ 2305078 h 3923699"/>
              <a:gd name="connsiteX14" fmla="*/ 683854 w 1489775"/>
              <a:gd name="connsiteY14" fmla="*/ 2305078 h 3923699"/>
              <a:gd name="connsiteX15" fmla="*/ 683854 w 1489775"/>
              <a:gd name="connsiteY15" fmla="*/ 3743698 h 3923699"/>
              <a:gd name="connsiteX16" fmla="*/ 503854 w 1489775"/>
              <a:gd name="connsiteY16" fmla="*/ 3923698 h 3923699"/>
              <a:gd name="connsiteX17" fmla="*/ 323854 w 1489775"/>
              <a:gd name="connsiteY17" fmla="*/ 3743698 h 3923699"/>
              <a:gd name="connsiteX18" fmla="*/ 323854 w 1489775"/>
              <a:gd name="connsiteY18" fmla="*/ 2238914 h 3923699"/>
              <a:gd name="connsiteX19" fmla="*/ 330887 w 1489775"/>
              <a:gd name="connsiteY19" fmla="*/ 2238914 h 3923699"/>
              <a:gd name="connsiteX20" fmla="*/ 330887 w 1489775"/>
              <a:gd name="connsiteY20" fmla="*/ 1390678 h 3923699"/>
              <a:gd name="connsiteX21" fmla="*/ 288033 w 1489775"/>
              <a:gd name="connsiteY21" fmla="*/ 1390678 h 3923699"/>
              <a:gd name="connsiteX22" fmla="*/ 288033 w 1489775"/>
              <a:gd name="connsiteY22" fmla="*/ 2063902 h 3923699"/>
              <a:gd name="connsiteX23" fmla="*/ 144017 w 1489775"/>
              <a:gd name="connsiteY23" fmla="*/ 2207918 h 3923699"/>
              <a:gd name="connsiteX24" fmla="*/ 1 w 1489775"/>
              <a:gd name="connsiteY24" fmla="*/ 2063902 h 3923699"/>
              <a:gd name="connsiteX25" fmla="*/ 1 w 1489775"/>
              <a:gd name="connsiteY25" fmla="*/ 1390678 h 3923699"/>
              <a:gd name="connsiteX26" fmla="*/ 0 w 1489775"/>
              <a:gd name="connsiteY26" fmla="*/ 1390678 h 3923699"/>
              <a:gd name="connsiteX27" fmla="*/ 0 w 1489775"/>
              <a:gd name="connsiteY27" fmla="*/ 1030958 h 3923699"/>
              <a:gd name="connsiteX28" fmla="*/ 280204 w 1489775"/>
              <a:gd name="connsiteY28" fmla="*/ 750754 h 3923699"/>
              <a:gd name="connsiteX29" fmla="*/ 744888 w 1489775"/>
              <a:gd name="connsiteY29" fmla="*/ 0 h 3923699"/>
              <a:gd name="connsiteX30" fmla="*/ 1082199 w 1489775"/>
              <a:gd name="connsiteY30" fmla="*/ 337311 h 3923699"/>
              <a:gd name="connsiteX31" fmla="*/ 744888 w 1489775"/>
              <a:gd name="connsiteY31" fmla="*/ 674622 h 3923699"/>
              <a:gd name="connsiteX32" fmla="*/ 407577 w 1489775"/>
              <a:gd name="connsiteY32" fmla="*/ 337311 h 3923699"/>
              <a:gd name="connsiteX33" fmla="*/ 744888 w 1489775"/>
              <a:gd name="connsiteY33" fmla="*/ 0 h 3923699"/>
              <a:gd name="connsiteX0" fmla="*/ 280204 w 1489775"/>
              <a:gd name="connsiteY0" fmla="*/ 750754 h 3923699"/>
              <a:gd name="connsiteX1" fmla="*/ 1209570 w 1489775"/>
              <a:gd name="connsiteY1" fmla="*/ 750754 h 3923699"/>
              <a:gd name="connsiteX2" fmla="*/ 1489774 w 1489775"/>
              <a:gd name="connsiteY2" fmla="*/ 1030958 h 3923699"/>
              <a:gd name="connsiteX3" fmla="*/ 1489774 w 1489775"/>
              <a:gd name="connsiteY3" fmla="*/ 1293518 h 3923699"/>
              <a:gd name="connsiteX4" fmla="*/ 1489775 w 1489775"/>
              <a:gd name="connsiteY4" fmla="*/ 1293518 h 3923699"/>
              <a:gd name="connsiteX5" fmla="*/ 1489775 w 1489775"/>
              <a:gd name="connsiteY5" fmla="*/ 2063902 h 3923699"/>
              <a:gd name="connsiteX6" fmla="*/ 1345759 w 1489775"/>
              <a:gd name="connsiteY6" fmla="*/ 2207918 h 3923699"/>
              <a:gd name="connsiteX7" fmla="*/ 1201743 w 1489775"/>
              <a:gd name="connsiteY7" fmla="*/ 2063902 h 3923699"/>
              <a:gd name="connsiteX8" fmla="*/ 1201743 w 1489775"/>
              <a:gd name="connsiteY8" fmla="*/ 1390678 h 3923699"/>
              <a:gd name="connsiteX9" fmla="*/ 1158887 w 1489775"/>
              <a:gd name="connsiteY9" fmla="*/ 1390678 h 3923699"/>
              <a:gd name="connsiteX10" fmla="*/ 1151853 w 1489775"/>
              <a:gd name="connsiteY10" fmla="*/ 3743699 h 3923699"/>
              <a:gd name="connsiteX11" fmla="*/ 971853 w 1489775"/>
              <a:gd name="connsiteY11" fmla="*/ 3923699 h 3923699"/>
              <a:gd name="connsiteX12" fmla="*/ 791853 w 1489775"/>
              <a:gd name="connsiteY12" fmla="*/ 3743699 h 3923699"/>
              <a:gd name="connsiteX13" fmla="*/ 791853 w 1489775"/>
              <a:gd name="connsiteY13" fmla="*/ 2305078 h 3923699"/>
              <a:gd name="connsiteX14" fmla="*/ 683854 w 1489775"/>
              <a:gd name="connsiteY14" fmla="*/ 2305078 h 3923699"/>
              <a:gd name="connsiteX15" fmla="*/ 683854 w 1489775"/>
              <a:gd name="connsiteY15" fmla="*/ 3743698 h 3923699"/>
              <a:gd name="connsiteX16" fmla="*/ 503854 w 1489775"/>
              <a:gd name="connsiteY16" fmla="*/ 3923698 h 3923699"/>
              <a:gd name="connsiteX17" fmla="*/ 323854 w 1489775"/>
              <a:gd name="connsiteY17" fmla="*/ 3743698 h 3923699"/>
              <a:gd name="connsiteX18" fmla="*/ 323854 w 1489775"/>
              <a:gd name="connsiteY18" fmla="*/ 2238914 h 3923699"/>
              <a:gd name="connsiteX19" fmla="*/ 330887 w 1489775"/>
              <a:gd name="connsiteY19" fmla="*/ 1390678 h 3923699"/>
              <a:gd name="connsiteX20" fmla="*/ 288033 w 1489775"/>
              <a:gd name="connsiteY20" fmla="*/ 1390678 h 3923699"/>
              <a:gd name="connsiteX21" fmla="*/ 288033 w 1489775"/>
              <a:gd name="connsiteY21" fmla="*/ 2063902 h 3923699"/>
              <a:gd name="connsiteX22" fmla="*/ 144017 w 1489775"/>
              <a:gd name="connsiteY22" fmla="*/ 2207918 h 3923699"/>
              <a:gd name="connsiteX23" fmla="*/ 1 w 1489775"/>
              <a:gd name="connsiteY23" fmla="*/ 2063902 h 3923699"/>
              <a:gd name="connsiteX24" fmla="*/ 1 w 1489775"/>
              <a:gd name="connsiteY24" fmla="*/ 1390678 h 3923699"/>
              <a:gd name="connsiteX25" fmla="*/ 0 w 1489775"/>
              <a:gd name="connsiteY25" fmla="*/ 1390678 h 3923699"/>
              <a:gd name="connsiteX26" fmla="*/ 0 w 1489775"/>
              <a:gd name="connsiteY26" fmla="*/ 1030958 h 3923699"/>
              <a:gd name="connsiteX27" fmla="*/ 280204 w 1489775"/>
              <a:gd name="connsiteY27" fmla="*/ 750754 h 3923699"/>
              <a:gd name="connsiteX28" fmla="*/ 744888 w 1489775"/>
              <a:gd name="connsiteY28" fmla="*/ 0 h 3923699"/>
              <a:gd name="connsiteX29" fmla="*/ 1082199 w 1489775"/>
              <a:gd name="connsiteY29" fmla="*/ 337311 h 3923699"/>
              <a:gd name="connsiteX30" fmla="*/ 744888 w 1489775"/>
              <a:gd name="connsiteY30" fmla="*/ 674622 h 3923699"/>
              <a:gd name="connsiteX31" fmla="*/ 407577 w 1489775"/>
              <a:gd name="connsiteY31" fmla="*/ 337311 h 3923699"/>
              <a:gd name="connsiteX32" fmla="*/ 744888 w 1489775"/>
              <a:gd name="connsiteY32" fmla="*/ 0 h 3923699"/>
              <a:gd name="connsiteX0" fmla="*/ 280204 w 1489775"/>
              <a:gd name="connsiteY0" fmla="*/ 750754 h 3923699"/>
              <a:gd name="connsiteX1" fmla="*/ 1209570 w 1489775"/>
              <a:gd name="connsiteY1" fmla="*/ 750754 h 3923699"/>
              <a:gd name="connsiteX2" fmla="*/ 1489774 w 1489775"/>
              <a:gd name="connsiteY2" fmla="*/ 1030958 h 3923699"/>
              <a:gd name="connsiteX3" fmla="*/ 1489774 w 1489775"/>
              <a:gd name="connsiteY3" fmla="*/ 1293518 h 3923699"/>
              <a:gd name="connsiteX4" fmla="*/ 1489775 w 1489775"/>
              <a:gd name="connsiteY4" fmla="*/ 1293518 h 3923699"/>
              <a:gd name="connsiteX5" fmla="*/ 1489775 w 1489775"/>
              <a:gd name="connsiteY5" fmla="*/ 2063902 h 3923699"/>
              <a:gd name="connsiteX6" fmla="*/ 1345759 w 1489775"/>
              <a:gd name="connsiteY6" fmla="*/ 2207918 h 3923699"/>
              <a:gd name="connsiteX7" fmla="*/ 1201743 w 1489775"/>
              <a:gd name="connsiteY7" fmla="*/ 2063902 h 3923699"/>
              <a:gd name="connsiteX8" fmla="*/ 1201743 w 1489775"/>
              <a:gd name="connsiteY8" fmla="*/ 1390678 h 3923699"/>
              <a:gd name="connsiteX9" fmla="*/ 1158887 w 1489775"/>
              <a:gd name="connsiteY9" fmla="*/ 1390678 h 3923699"/>
              <a:gd name="connsiteX10" fmla="*/ 1151853 w 1489775"/>
              <a:gd name="connsiteY10" fmla="*/ 3743699 h 3923699"/>
              <a:gd name="connsiteX11" fmla="*/ 971853 w 1489775"/>
              <a:gd name="connsiteY11" fmla="*/ 3923699 h 3923699"/>
              <a:gd name="connsiteX12" fmla="*/ 791853 w 1489775"/>
              <a:gd name="connsiteY12" fmla="*/ 3743699 h 3923699"/>
              <a:gd name="connsiteX13" fmla="*/ 791853 w 1489775"/>
              <a:gd name="connsiteY13" fmla="*/ 2305078 h 3923699"/>
              <a:gd name="connsiteX14" fmla="*/ 683854 w 1489775"/>
              <a:gd name="connsiteY14" fmla="*/ 2305078 h 3923699"/>
              <a:gd name="connsiteX15" fmla="*/ 683854 w 1489775"/>
              <a:gd name="connsiteY15" fmla="*/ 3743698 h 3923699"/>
              <a:gd name="connsiteX16" fmla="*/ 503854 w 1489775"/>
              <a:gd name="connsiteY16" fmla="*/ 3923698 h 3923699"/>
              <a:gd name="connsiteX17" fmla="*/ 323854 w 1489775"/>
              <a:gd name="connsiteY17" fmla="*/ 3743698 h 3923699"/>
              <a:gd name="connsiteX18" fmla="*/ 330887 w 1489775"/>
              <a:gd name="connsiteY18" fmla="*/ 1390678 h 3923699"/>
              <a:gd name="connsiteX19" fmla="*/ 288033 w 1489775"/>
              <a:gd name="connsiteY19" fmla="*/ 1390678 h 3923699"/>
              <a:gd name="connsiteX20" fmla="*/ 288033 w 1489775"/>
              <a:gd name="connsiteY20" fmla="*/ 2063902 h 3923699"/>
              <a:gd name="connsiteX21" fmla="*/ 144017 w 1489775"/>
              <a:gd name="connsiteY21" fmla="*/ 2207918 h 3923699"/>
              <a:gd name="connsiteX22" fmla="*/ 1 w 1489775"/>
              <a:gd name="connsiteY22" fmla="*/ 2063902 h 3923699"/>
              <a:gd name="connsiteX23" fmla="*/ 1 w 1489775"/>
              <a:gd name="connsiteY23" fmla="*/ 1390678 h 3923699"/>
              <a:gd name="connsiteX24" fmla="*/ 0 w 1489775"/>
              <a:gd name="connsiteY24" fmla="*/ 1390678 h 3923699"/>
              <a:gd name="connsiteX25" fmla="*/ 0 w 1489775"/>
              <a:gd name="connsiteY25" fmla="*/ 1030958 h 3923699"/>
              <a:gd name="connsiteX26" fmla="*/ 280204 w 1489775"/>
              <a:gd name="connsiteY26" fmla="*/ 750754 h 3923699"/>
              <a:gd name="connsiteX27" fmla="*/ 744888 w 1489775"/>
              <a:gd name="connsiteY27" fmla="*/ 0 h 3923699"/>
              <a:gd name="connsiteX28" fmla="*/ 1082199 w 1489775"/>
              <a:gd name="connsiteY28" fmla="*/ 337311 h 3923699"/>
              <a:gd name="connsiteX29" fmla="*/ 744888 w 1489775"/>
              <a:gd name="connsiteY29" fmla="*/ 674622 h 3923699"/>
              <a:gd name="connsiteX30" fmla="*/ 407577 w 1489775"/>
              <a:gd name="connsiteY30" fmla="*/ 337311 h 3923699"/>
              <a:gd name="connsiteX31" fmla="*/ 744888 w 1489775"/>
              <a:gd name="connsiteY31" fmla="*/ 0 h 3923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1489775" h="3923699">
                <a:moveTo>
                  <a:pt x="280204" y="750754"/>
                </a:moveTo>
                <a:lnTo>
                  <a:pt x="1209570" y="750754"/>
                </a:lnTo>
                <a:cubicBezTo>
                  <a:pt x="1364322" y="750754"/>
                  <a:pt x="1489774" y="876206"/>
                  <a:pt x="1489774" y="1030958"/>
                </a:cubicBezTo>
                <a:lnTo>
                  <a:pt x="1489774" y="1293518"/>
                </a:lnTo>
                <a:lnTo>
                  <a:pt x="1489775" y="1293518"/>
                </a:lnTo>
                <a:lnTo>
                  <a:pt x="1489775" y="2063902"/>
                </a:lnTo>
                <a:cubicBezTo>
                  <a:pt x="1489775" y="2143440"/>
                  <a:pt x="1425297" y="2207918"/>
                  <a:pt x="1345759" y="2207918"/>
                </a:cubicBezTo>
                <a:cubicBezTo>
                  <a:pt x="1266221" y="2207918"/>
                  <a:pt x="1201743" y="2143440"/>
                  <a:pt x="1201743" y="2063902"/>
                </a:cubicBezTo>
                <a:lnTo>
                  <a:pt x="1201743" y="1390678"/>
                </a:lnTo>
                <a:lnTo>
                  <a:pt x="1158887" y="1390678"/>
                </a:lnTo>
                <a:cubicBezTo>
                  <a:pt x="1156542" y="2175018"/>
                  <a:pt x="1154198" y="2959359"/>
                  <a:pt x="1151853" y="3743699"/>
                </a:cubicBezTo>
                <a:cubicBezTo>
                  <a:pt x="1151853" y="3843110"/>
                  <a:pt x="1071264" y="3923699"/>
                  <a:pt x="971853" y="3923699"/>
                </a:cubicBezTo>
                <a:cubicBezTo>
                  <a:pt x="872442" y="3923699"/>
                  <a:pt x="791853" y="3843110"/>
                  <a:pt x="791853" y="3743699"/>
                </a:cubicBezTo>
                <a:lnTo>
                  <a:pt x="791853" y="2305078"/>
                </a:lnTo>
                <a:lnTo>
                  <a:pt x="683854" y="2305078"/>
                </a:lnTo>
                <a:lnTo>
                  <a:pt x="683854" y="3743698"/>
                </a:lnTo>
                <a:cubicBezTo>
                  <a:pt x="683854" y="3843109"/>
                  <a:pt x="603265" y="3923698"/>
                  <a:pt x="503854" y="3923698"/>
                </a:cubicBezTo>
                <a:cubicBezTo>
                  <a:pt x="404443" y="3923698"/>
                  <a:pt x="323854" y="3843109"/>
                  <a:pt x="323854" y="3743698"/>
                </a:cubicBezTo>
                <a:cubicBezTo>
                  <a:pt x="326198" y="2959358"/>
                  <a:pt x="328543" y="2175018"/>
                  <a:pt x="330887" y="1390678"/>
                </a:cubicBezTo>
                <a:lnTo>
                  <a:pt x="288033" y="1390678"/>
                </a:lnTo>
                <a:lnTo>
                  <a:pt x="288033" y="2063902"/>
                </a:lnTo>
                <a:cubicBezTo>
                  <a:pt x="288033" y="2143440"/>
                  <a:pt x="223555" y="2207918"/>
                  <a:pt x="144017" y="2207918"/>
                </a:cubicBezTo>
                <a:cubicBezTo>
                  <a:pt x="64479" y="2207918"/>
                  <a:pt x="1" y="2143440"/>
                  <a:pt x="1" y="2063902"/>
                </a:cubicBezTo>
                <a:lnTo>
                  <a:pt x="1" y="1390678"/>
                </a:lnTo>
                <a:lnTo>
                  <a:pt x="0" y="1390678"/>
                </a:lnTo>
                <a:lnTo>
                  <a:pt x="0" y="1030958"/>
                </a:lnTo>
                <a:cubicBezTo>
                  <a:pt x="0" y="876206"/>
                  <a:pt x="125452" y="750754"/>
                  <a:pt x="280204" y="750754"/>
                </a:cubicBezTo>
                <a:close/>
                <a:moveTo>
                  <a:pt x="744888" y="0"/>
                </a:moveTo>
                <a:cubicBezTo>
                  <a:pt x="931180" y="0"/>
                  <a:pt x="1082199" y="151019"/>
                  <a:pt x="1082199" y="337311"/>
                </a:cubicBezTo>
                <a:cubicBezTo>
                  <a:pt x="1082199" y="523603"/>
                  <a:pt x="931180" y="674622"/>
                  <a:pt x="744888" y="674622"/>
                </a:cubicBezTo>
                <a:cubicBezTo>
                  <a:pt x="558596" y="674622"/>
                  <a:pt x="407577" y="523603"/>
                  <a:pt x="407577" y="337311"/>
                </a:cubicBezTo>
                <a:cubicBezTo>
                  <a:pt x="407577" y="151019"/>
                  <a:pt x="558596" y="0"/>
                  <a:pt x="744888" y="0"/>
                </a:cubicBezTo>
                <a:close/>
              </a:path>
            </a:pathLst>
          </a:cu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ko-KR" altLang="en-US" sz="2700">
              <a:solidFill>
                <a:schemeClr val="bg1"/>
              </a:solidFill>
            </a:endParaRPr>
          </a:p>
        </xdr:txBody>
      </xdr:sp>
      <xdr:sp macro="" textlink="เลือกรายเขต!E19">
        <xdr:nvSpPr>
          <xdr:cNvPr id="79" name="กล่องข้อความ 78">
            <a:extLst>
              <a:ext uri="{FF2B5EF4-FFF2-40B4-BE49-F238E27FC236}">
                <a16:creationId xmlns:a16="http://schemas.microsoft.com/office/drawing/2014/main" id="{46A255CF-9B01-8C4D-8FD6-C6DEF1C5294E}"/>
              </a:ext>
            </a:extLst>
          </xdr:cNvPr>
          <xdr:cNvSpPr txBox="1"/>
        </xdr:nvSpPr>
        <xdr:spPr>
          <a:xfrm>
            <a:off x="10397654" y="13348608"/>
            <a:ext cx="1602619" cy="624417"/>
          </a:xfrm>
          <a:prstGeom prst="rect">
            <a:avLst/>
          </a:prstGeom>
          <a:solidFill>
            <a:schemeClr val="accen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4F3A22D6-C2E0-C243-8590-206E42E78435}" type="TxLink">
              <a:rPr lang="en-US" sz="3600" b="1" i="0" u="none" strike="noStrike">
                <a:solidFill>
                  <a:schemeClr val="bg1"/>
                </a:solidFill>
                <a:latin typeface="TH SarabunPSK"/>
                <a:cs typeface="TH SarabunPSK"/>
              </a:rPr>
              <a:pPr algn="ctr"/>
              <a:t> 20 </a:t>
            </a:fld>
            <a:endParaRPr lang="th-TH" sz="3600" b="1">
              <a:solidFill>
                <a:schemeClr val="bg1"/>
              </a:solidFill>
            </a:endParaRPr>
          </a:p>
        </xdr:txBody>
      </xdr:sp>
      <xdr:sp macro="" textlink="">
        <xdr:nvSpPr>
          <xdr:cNvPr id="80" name="Round Same Side Corner Rectangle 20">
            <a:extLst>
              <a:ext uri="{FF2B5EF4-FFF2-40B4-BE49-F238E27FC236}">
                <a16:creationId xmlns:a16="http://schemas.microsoft.com/office/drawing/2014/main" id="{FAC8522A-0351-4141-BCA9-3CD300D0D2BB}"/>
              </a:ext>
            </a:extLst>
          </xdr:cNvPr>
          <xdr:cNvSpPr/>
        </xdr:nvSpPr>
        <xdr:spPr>
          <a:xfrm rot="10800000">
            <a:off x="10944870" y="14237607"/>
            <a:ext cx="445679" cy="781922"/>
          </a:xfrm>
          <a:custGeom>
            <a:avLst/>
            <a:gdLst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521281 w 1856332"/>
              <a:gd name="connsiteY2" fmla="*/ 3174669 h 3959924"/>
              <a:gd name="connsiteX3" fmla="*/ 466697 w 1856332"/>
              <a:gd name="connsiteY3" fmla="*/ 3144149 h 3959924"/>
              <a:gd name="connsiteX4" fmla="*/ 8303 w 1856332"/>
              <a:gd name="connsiteY4" fmla="*/ 1942070 h 3959924"/>
              <a:gd name="connsiteX5" fmla="*/ 81139 w 1856332"/>
              <a:gd name="connsiteY5" fmla="*/ 1779444 h 3959924"/>
              <a:gd name="connsiteX6" fmla="*/ 243764 w 1856332"/>
              <a:gd name="connsiteY6" fmla="*/ 1852280 h 3959924"/>
              <a:gd name="connsiteX7" fmla="*/ 504770 w 1856332"/>
              <a:gd name="connsiteY7" fmla="*/ 2536736 h 3959924"/>
              <a:gd name="connsiteX8" fmla="*/ 555637 w 1856332"/>
              <a:gd name="connsiteY8" fmla="*/ 2536736 h 3959924"/>
              <a:gd name="connsiteX9" fmla="*/ 226299 w 1856332"/>
              <a:gd name="connsiteY9" fmla="*/ 1210417 h 3959924"/>
              <a:gd name="connsiteX10" fmla="*/ 551784 w 1856332"/>
              <a:gd name="connsiteY10" fmla="*/ 1210417 h 3959924"/>
              <a:gd name="connsiteX11" fmla="*/ 551784 w 1856332"/>
              <a:gd name="connsiteY11" fmla="*/ 168335 h 3959924"/>
              <a:gd name="connsiteX12" fmla="*/ 720119 w 1856332"/>
              <a:gd name="connsiteY12" fmla="*/ 0 h 3959924"/>
              <a:gd name="connsiteX13" fmla="*/ 888454 w 1856332"/>
              <a:gd name="connsiteY13" fmla="*/ 168335 h 3959924"/>
              <a:gd name="connsiteX14" fmla="*/ 888454 w 1856332"/>
              <a:gd name="connsiteY14" fmla="*/ 1210417 h 3959924"/>
              <a:gd name="connsiteX15" fmla="*/ 968040 w 1856332"/>
              <a:gd name="connsiteY15" fmla="*/ 1210417 h 3959924"/>
              <a:gd name="connsiteX16" fmla="*/ 968040 w 1856332"/>
              <a:gd name="connsiteY16" fmla="*/ 168335 h 3959924"/>
              <a:gd name="connsiteX17" fmla="*/ 1136375 w 1856332"/>
              <a:gd name="connsiteY17" fmla="*/ 0 h 3959924"/>
              <a:gd name="connsiteX18" fmla="*/ 1304710 w 1856332"/>
              <a:gd name="connsiteY18" fmla="*/ 168335 h 3959924"/>
              <a:gd name="connsiteX19" fmla="*/ 1304710 w 1856332"/>
              <a:gd name="connsiteY19" fmla="*/ 1210417 h 3959924"/>
              <a:gd name="connsiteX20" fmla="*/ 1631589 w 1856332"/>
              <a:gd name="connsiteY20" fmla="*/ 1210417 h 3959924"/>
              <a:gd name="connsiteX21" fmla="*/ 1302251 w 1856332"/>
              <a:gd name="connsiteY21" fmla="*/ 2536736 h 3959924"/>
              <a:gd name="connsiteX22" fmla="*/ 1351562 w 1856332"/>
              <a:gd name="connsiteY22" fmla="*/ 2536736 h 3959924"/>
              <a:gd name="connsiteX23" fmla="*/ 1612568 w 1856332"/>
              <a:gd name="connsiteY23" fmla="*/ 1852280 h 3959924"/>
              <a:gd name="connsiteX24" fmla="*/ 1775193 w 1856332"/>
              <a:gd name="connsiteY24" fmla="*/ 1779444 h 3959924"/>
              <a:gd name="connsiteX25" fmla="*/ 1848029 w 1856332"/>
              <a:gd name="connsiteY25" fmla="*/ 1942070 h 3959924"/>
              <a:gd name="connsiteX26" fmla="*/ 1389635 w 1856332"/>
              <a:gd name="connsiteY26" fmla="*/ 3144149 h 3959924"/>
              <a:gd name="connsiteX27" fmla="*/ 1344732 w 1856332"/>
              <a:gd name="connsiteY27" fmla="*/ 3176282 h 3959924"/>
              <a:gd name="connsiteX28" fmla="*/ 1228565 w 1856332"/>
              <a:gd name="connsiteY28" fmla="*/ 3214674 h 3959924"/>
              <a:gd name="connsiteX29" fmla="*/ 925623 w 1856332"/>
              <a:gd name="connsiteY29" fmla="*/ 3959924 h 3959924"/>
              <a:gd name="connsiteX30" fmla="*/ 601623 w 1856332"/>
              <a:gd name="connsiteY30" fmla="*/ 3635924 h 3959924"/>
              <a:gd name="connsiteX31" fmla="*/ 925623 w 1856332"/>
              <a:gd name="connsiteY31" fmla="*/ 3311924 h 3959924"/>
              <a:gd name="connsiteX32" fmla="*/ 1249623 w 1856332"/>
              <a:gd name="connsiteY32" fmla="*/ 3635924 h 3959924"/>
              <a:gd name="connsiteX33" fmla="*/ 925623 w 1856332"/>
              <a:gd name="connsiteY33" fmla="*/ 3959924 h 3959924"/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466697 w 1856332"/>
              <a:gd name="connsiteY2" fmla="*/ 3144149 h 3959924"/>
              <a:gd name="connsiteX3" fmla="*/ 8303 w 1856332"/>
              <a:gd name="connsiteY3" fmla="*/ 1942070 h 3959924"/>
              <a:gd name="connsiteX4" fmla="*/ 81139 w 1856332"/>
              <a:gd name="connsiteY4" fmla="*/ 1779444 h 3959924"/>
              <a:gd name="connsiteX5" fmla="*/ 243764 w 1856332"/>
              <a:gd name="connsiteY5" fmla="*/ 1852280 h 3959924"/>
              <a:gd name="connsiteX6" fmla="*/ 504770 w 1856332"/>
              <a:gd name="connsiteY6" fmla="*/ 2536736 h 3959924"/>
              <a:gd name="connsiteX7" fmla="*/ 555637 w 1856332"/>
              <a:gd name="connsiteY7" fmla="*/ 2536736 h 3959924"/>
              <a:gd name="connsiteX8" fmla="*/ 226299 w 1856332"/>
              <a:gd name="connsiteY8" fmla="*/ 1210417 h 3959924"/>
              <a:gd name="connsiteX9" fmla="*/ 551784 w 1856332"/>
              <a:gd name="connsiteY9" fmla="*/ 1210417 h 3959924"/>
              <a:gd name="connsiteX10" fmla="*/ 551784 w 1856332"/>
              <a:gd name="connsiteY10" fmla="*/ 168335 h 3959924"/>
              <a:gd name="connsiteX11" fmla="*/ 720119 w 1856332"/>
              <a:gd name="connsiteY11" fmla="*/ 0 h 3959924"/>
              <a:gd name="connsiteX12" fmla="*/ 888454 w 1856332"/>
              <a:gd name="connsiteY12" fmla="*/ 168335 h 3959924"/>
              <a:gd name="connsiteX13" fmla="*/ 888454 w 1856332"/>
              <a:gd name="connsiteY13" fmla="*/ 1210417 h 3959924"/>
              <a:gd name="connsiteX14" fmla="*/ 968040 w 1856332"/>
              <a:gd name="connsiteY14" fmla="*/ 1210417 h 3959924"/>
              <a:gd name="connsiteX15" fmla="*/ 968040 w 1856332"/>
              <a:gd name="connsiteY15" fmla="*/ 168335 h 3959924"/>
              <a:gd name="connsiteX16" fmla="*/ 1136375 w 1856332"/>
              <a:gd name="connsiteY16" fmla="*/ 0 h 3959924"/>
              <a:gd name="connsiteX17" fmla="*/ 1304710 w 1856332"/>
              <a:gd name="connsiteY17" fmla="*/ 168335 h 3959924"/>
              <a:gd name="connsiteX18" fmla="*/ 1304710 w 1856332"/>
              <a:gd name="connsiteY18" fmla="*/ 1210417 h 3959924"/>
              <a:gd name="connsiteX19" fmla="*/ 1631589 w 1856332"/>
              <a:gd name="connsiteY19" fmla="*/ 1210417 h 3959924"/>
              <a:gd name="connsiteX20" fmla="*/ 1302251 w 1856332"/>
              <a:gd name="connsiteY20" fmla="*/ 2536736 h 3959924"/>
              <a:gd name="connsiteX21" fmla="*/ 1351562 w 1856332"/>
              <a:gd name="connsiteY21" fmla="*/ 2536736 h 3959924"/>
              <a:gd name="connsiteX22" fmla="*/ 1612568 w 1856332"/>
              <a:gd name="connsiteY22" fmla="*/ 1852280 h 3959924"/>
              <a:gd name="connsiteX23" fmla="*/ 1775193 w 1856332"/>
              <a:gd name="connsiteY23" fmla="*/ 1779444 h 3959924"/>
              <a:gd name="connsiteX24" fmla="*/ 1848029 w 1856332"/>
              <a:gd name="connsiteY24" fmla="*/ 1942070 h 3959924"/>
              <a:gd name="connsiteX25" fmla="*/ 1389635 w 1856332"/>
              <a:gd name="connsiteY25" fmla="*/ 3144149 h 3959924"/>
              <a:gd name="connsiteX26" fmla="*/ 1344732 w 1856332"/>
              <a:gd name="connsiteY26" fmla="*/ 3176282 h 3959924"/>
              <a:gd name="connsiteX27" fmla="*/ 1228565 w 1856332"/>
              <a:gd name="connsiteY27" fmla="*/ 3214674 h 3959924"/>
              <a:gd name="connsiteX28" fmla="*/ 925623 w 1856332"/>
              <a:gd name="connsiteY28" fmla="*/ 3959924 h 3959924"/>
              <a:gd name="connsiteX29" fmla="*/ 601623 w 1856332"/>
              <a:gd name="connsiteY29" fmla="*/ 3635924 h 3959924"/>
              <a:gd name="connsiteX30" fmla="*/ 925623 w 1856332"/>
              <a:gd name="connsiteY30" fmla="*/ 3311924 h 3959924"/>
              <a:gd name="connsiteX31" fmla="*/ 1249623 w 1856332"/>
              <a:gd name="connsiteY31" fmla="*/ 3635924 h 3959924"/>
              <a:gd name="connsiteX32" fmla="*/ 925623 w 1856332"/>
              <a:gd name="connsiteY32" fmla="*/ 3959924 h 3959924"/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466697 w 1856332"/>
              <a:gd name="connsiteY2" fmla="*/ 3144149 h 3959924"/>
              <a:gd name="connsiteX3" fmla="*/ 8303 w 1856332"/>
              <a:gd name="connsiteY3" fmla="*/ 1942070 h 3959924"/>
              <a:gd name="connsiteX4" fmla="*/ 81139 w 1856332"/>
              <a:gd name="connsiteY4" fmla="*/ 1779444 h 3959924"/>
              <a:gd name="connsiteX5" fmla="*/ 243764 w 1856332"/>
              <a:gd name="connsiteY5" fmla="*/ 1852280 h 3959924"/>
              <a:gd name="connsiteX6" fmla="*/ 504770 w 1856332"/>
              <a:gd name="connsiteY6" fmla="*/ 2536736 h 3959924"/>
              <a:gd name="connsiteX7" fmla="*/ 555637 w 1856332"/>
              <a:gd name="connsiteY7" fmla="*/ 2536736 h 3959924"/>
              <a:gd name="connsiteX8" fmla="*/ 226299 w 1856332"/>
              <a:gd name="connsiteY8" fmla="*/ 1210417 h 3959924"/>
              <a:gd name="connsiteX9" fmla="*/ 551784 w 1856332"/>
              <a:gd name="connsiteY9" fmla="*/ 1210417 h 3959924"/>
              <a:gd name="connsiteX10" fmla="*/ 551784 w 1856332"/>
              <a:gd name="connsiteY10" fmla="*/ 168335 h 3959924"/>
              <a:gd name="connsiteX11" fmla="*/ 720119 w 1856332"/>
              <a:gd name="connsiteY11" fmla="*/ 0 h 3959924"/>
              <a:gd name="connsiteX12" fmla="*/ 888454 w 1856332"/>
              <a:gd name="connsiteY12" fmla="*/ 168335 h 3959924"/>
              <a:gd name="connsiteX13" fmla="*/ 888454 w 1856332"/>
              <a:gd name="connsiteY13" fmla="*/ 1210417 h 3959924"/>
              <a:gd name="connsiteX14" fmla="*/ 968040 w 1856332"/>
              <a:gd name="connsiteY14" fmla="*/ 1210417 h 3959924"/>
              <a:gd name="connsiteX15" fmla="*/ 968040 w 1856332"/>
              <a:gd name="connsiteY15" fmla="*/ 168335 h 3959924"/>
              <a:gd name="connsiteX16" fmla="*/ 1136375 w 1856332"/>
              <a:gd name="connsiteY16" fmla="*/ 0 h 3959924"/>
              <a:gd name="connsiteX17" fmla="*/ 1304710 w 1856332"/>
              <a:gd name="connsiteY17" fmla="*/ 168335 h 3959924"/>
              <a:gd name="connsiteX18" fmla="*/ 1304710 w 1856332"/>
              <a:gd name="connsiteY18" fmla="*/ 1210417 h 3959924"/>
              <a:gd name="connsiteX19" fmla="*/ 1631589 w 1856332"/>
              <a:gd name="connsiteY19" fmla="*/ 1210417 h 3959924"/>
              <a:gd name="connsiteX20" fmla="*/ 1302251 w 1856332"/>
              <a:gd name="connsiteY20" fmla="*/ 2536736 h 3959924"/>
              <a:gd name="connsiteX21" fmla="*/ 1351562 w 1856332"/>
              <a:gd name="connsiteY21" fmla="*/ 2536736 h 3959924"/>
              <a:gd name="connsiteX22" fmla="*/ 1612568 w 1856332"/>
              <a:gd name="connsiteY22" fmla="*/ 1852280 h 3959924"/>
              <a:gd name="connsiteX23" fmla="*/ 1775193 w 1856332"/>
              <a:gd name="connsiteY23" fmla="*/ 1779444 h 3959924"/>
              <a:gd name="connsiteX24" fmla="*/ 1848029 w 1856332"/>
              <a:gd name="connsiteY24" fmla="*/ 1942070 h 3959924"/>
              <a:gd name="connsiteX25" fmla="*/ 1389635 w 1856332"/>
              <a:gd name="connsiteY25" fmla="*/ 3144149 h 3959924"/>
              <a:gd name="connsiteX26" fmla="*/ 1344732 w 1856332"/>
              <a:gd name="connsiteY26" fmla="*/ 3176282 h 3959924"/>
              <a:gd name="connsiteX27" fmla="*/ 1228565 w 1856332"/>
              <a:gd name="connsiteY27" fmla="*/ 3214674 h 3959924"/>
              <a:gd name="connsiteX28" fmla="*/ 925623 w 1856332"/>
              <a:gd name="connsiteY28" fmla="*/ 3959924 h 3959924"/>
              <a:gd name="connsiteX29" fmla="*/ 601623 w 1856332"/>
              <a:gd name="connsiteY29" fmla="*/ 3635924 h 3959924"/>
              <a:gd name="connsiteX30" fmla="*/ 925623 w 1856332"/>
              <a:gd name="connsiteY30" fmla="*/ 3311924 h 3959924"/>
              <a:gd name="connsiteX31" fmla="*/ 1249623 w 1856332"/>
              <a:gd name="connsiteY31" fmla="*/ 3635924 h 3959924"/>
              <a:gd name="connsiteX32" fmla="*/ 925623 w 1856332"/>
              <a:gd name="connsiteY32" fmla="*/ 3959924 h 3959924"/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466697 w 1856332"/>
              <a:gd name="connsiteY2" fmla="*/ 3144149 h 3959924"/>
              <a:gd name="connsiteX3" fmla="*/ 8303 w 1856332"/>
              <a:gd name="connsiteY3" fmla="*/ 1942070 h 3959924"/>
              <a:gd name="connsiteX4" fmla="*/ 81139 w 1856332"/>
              <a:gd name="connsiteY4" fmla="*/ 1779444 h 3959924"/>
              <a:gd name="connsiteX5" fmla="*/ 243764 w 1856332"/>
              <a:gd name="connsiteY5" fmla="*/ 1852280 h 3959924"/>
              <a:gd name="connsiteX6" fmla="*/ 504770 w 1856332"/>
              <a:gd name="connsiteY6" fmla="*/ 2536736 h 3959924"/>
              <a:gd name="connsiteX7" fmla="*/ 555637 w 1856332"/>
              <a:gd name="connsiteY7" fmla="*/ 2536736 h 3959924"/>
              <a:gd name="connsiteX8" fmla="*/ 226299 w 1856332"/>
              <a:gd name="connsiteY8" fmla="*/ 1210417 h 3959924"/>
              <a:gd name="connsiteX9" fmla="*/ 551784 w 1856332"/>
              <a:gd name="connsiteY9" fmla="*/ 1210417 h 3959924"/>
              <a:gd name="connsiteX10" fmla="*/ 551784 w 1856332"/>
              <a:gd name="connsiteY10" fmla="*/ 168335 h 3959924"/>
              <a:gd name="connsiteX11" fmla="*/ 720119 w 1856332"/>
              <a:gd name="connsiteY11" fmla="*/ 0 h 3959924"/>
              <a:gd name="connsiteX12" fmla="*/ 888454 w 1856332"/>
              <a:gd name="connsiteY12" fmla="*/ 168335 h 3959924"/>
              <a:gd name="connsiteX13" fmla="*/ 888454 w 1856332"/>
              <a:gd name="connsiteY13" fmla="*/ 1210417 h 3959924"/>
              <a:gd name="connsiteX14" fmla="*/ 968040 w 1856332"/>
              <a:gd name="connsiteY14" fmla="*/ 1210417 h 3959924"/>
              <a:gd name="connsiteX15" fmla="*/ 968040 w 1856332"/>
              <a:gd name="connsiteY15" fmla="*/ 168335 h 3959924"/>
              <a:gd name="connsiteX16" fmla="*/ 1136375 w 1856332"/>
              <a:gd name="connsiteY16" fmla="*/ 0 h 3959924"/>
              <a:gd name="connsiteX17" fmla="*/ 1304710 w 1856332"/>
              <a:gd name="connsiteY17" fmla="*/ 168335 h 3959924"/>
              <a:gd name="connsiteX18" fmla="*/ 1304710 w 1856332"/>
              <a:gd name="connsiteY18" fmla="*/ 1210417 h 3959924"/>
              <a:gd name="connsiteX19" fmla="*/ 1631589 w 1856332"/>
              <a:gd name="connsiteY19" fmla="*/ 1210417 h 3959924"/>
              <a:gd name="connsiteX20" fmla="*/ 1302251 w 1856332"/>
              <a:gd name="connsiteY20" fmla="*/ 2536736 h 3959924"/>
              <a:gd name="connsiteX21" fmla="*/ 1351562 w 1856332"/>
              <a:gd name="connsiteY21" fmla="*/ 2536736 h 3959924"/>
              <a:gd name="connsiteX22" fmla="*/ 1612568 w 1856332"/>
              <a:gd name="connsiteY22" fmla="*/ 1852280 h 3959924"/>
              <a:gd name="connsiteX23" fmla="*/ 1775193 w 1856332"/>
              <a:gd name="connsiteY23" fmla="*/ 1779444 h 3959924"/>
              <a:gd name="connsiteX24" fmla="*/ 1848029 w 1856332"/>
              <a:gd name="connsiteY24" fmla="*/ 1942070 h 3959924"/>
              <a:gd name="connsiteX25" fmla="*/ 1389635 w 1856332"/>
              <a:gd name="connsiteY25" fmla="*/ 3144149 h 3959924"/>
              <a:gd name="connsiteX26" fmla="*/ 1228565 w 1856332"/>
              <a:gd name="connsiteY26" fmla="*/ 3214674 h 3959924"/>
              <a:gd name="connsiteX27" fmla="*/ 925623 w 1856332"/>
              <a:gd name="connsiteY27" fmla="*/ 3959924 h 3959924"/>
              <a:gd name="connsiteX28" fmla="*/ 601623 w 1856332"/>
              <a:gd name="connsiteY28" fmla="*/ 3635924 h 3959924"/>
              <a:gd name="connsiteX29" fmla="*/ 925623 w 1856332"/>
              <a:gd name="connsiteY29" fmla="*/ 3311924 h 3959924"/>
              <a:gd name="connsiteX30" fmla="*/ 1249623 w 1856332"/>
              <a:gd name="connsiteY30" fmla="*/ 3635924 h 3959924"/>
              <a:gd name="connsiteX31" fmla="*/ 925623 w 1856332"/>
              <a:gd name="connsiteY31" fmla="*/ 3959924 h 3959924"/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466697 w 1856332"/>
              <a:gd name="connsiteY2" fmla="*/ 3144149 h 3959924"/>
              <a:gd name="connsiteX3" fmla="*/ 8303 w 1856332"/>
              <a:gd name="connsiteY3" fmla="*/ 1942070 h 3959924"/>
              <a:gd name="connsiteX4" fmla="*/ 81139 w 1856332"/>
              <a:gd name="connsiteY4" fmla="*/ 1779444 h 3959924"/>
              <a:gd name="connsiteX5" fmla="*/ 243764 w 1856332"/>
              <a:gd name="connsiteY5" fmla="*/ 1852280 h 3959924"/>
              <a:gd name="connsiteX6" fmla="*/ 504770 w 1856332"/>
              <a:gd name="connsiteY6" fmla="*/ 2536736 h 3959924"/>
              <a:gd name="connsiteX7" fmla="*/ 555637 w 1856332"/>
              <a:gd name="connsiteY7" fmla="*/ 2536736 h 3959924"/>
              <a:gd name="connsiteX8" fmla="*/ 226299 w 1856332"/>
              <a:gd name="connsiteY8" fmla="*/ 1210417 h 3959924"/>
              <a:gd name="connsiteX9" fmla="*/ 551784 w 1856332"/>
              <a:gd name="connsiteY9" fmla="*/ 1210417 h 3959924"/>
              <a:gd name="connsiteX10" fmla="*/ 551784 w 1856332"/>
              <a:gd name="connsiteY10" fmla="*/ 168335 h 3959924"/>
              <a:gd name="connsiteX11" fmla="*/ 720119 w 1856332"/>
              <a:gd name="connsiteY11" fmla="*/ 0 h 3959924"/>
              <a:gd name="connsiteX12" fmla="*/ 888454 w 1856332"/>
              <a:gd name="connsiteY12" fmla="*/ 168335 h 3959924"/>
              <a:gd name="connsiteX13" fmla="*/ 888454 w 1856332"/>
              <a:gd name="connsiteY13" fmla="*/ 1210417 h 3959924"/>
              <a:gd name="connsiteX14" fmla="*/ 968040 w 1856332"/>
              <a:gd name="connsiteY14" fmla="*/ 1210417 h 3959924"/>
              <a:gd name="connsiteX15" fmla="*/ 968040 w 1856332"/>
              <a:gd name="connsiteY15" fmla="*/ 168335 h 3959924"/>
              <a:gd name="connsiteX16" fmla="*/ 1136375 w 1856332"/>
              <a:gd name="connsiteY16" fmla="*/ 0 h 3959924"/>
              <a:gd name="connsiteX17" fmla="*/ 1304710 w 1856332"/>
              <a:gd name="connsiteY17" fmla="*/ 168335 h 3959924"/>
              <a:gd name="connsiteX18" fmla="*/ 1304710 w 1856332"/>
              <a:gd name="connsiteY18" fmla="*/ 1210417 h 3959924"/>
              <a:gd name="connsiteX19" fmla="*/ 1631589 w 1856332"/>
              <a:gd name="connsiteY19" fmla="*/ 1210417 h 3959924"/>
              <a:gd name="connsiteX20" fmla="*/ 1302251 w 1856332"/>
              <a:gd name="connsiteY20" fmla="*/ 2536736 h 3959924"/>
              <a:gd name="connsiteX21" fmla="*/ 1351562 w 1856332"/>
              <a:gd name="connsiteY21" fmla="*/ 2536736 h 3959924"/>
              <a:gd name="connsiteX22" fmla="*/ 1612568 w 1856332"/>
              <a:gd name="connsiteY22" fmla="*/ 1852280 h 3959924"/>
              <a:gd name="connsiteX23" fmla="*/ 1775193 w 1856332"/>
              <a:gd name="connsiteY23" fmla="*/ 1779444 h 3959924"/>
              <a:gd name="connsiteX24" fmla="*/ 1848029 w 1856332"/>
              <a:gd name="connsiteY24" fmla="*/ 1942070 h 3959924"/>
              <a:gd name="connsiteX25" fmla="*/ 1389635 w 1856332"/>
              <a:gd name="connsiteY25" fmla="*/ 3144149 h 3959924"/>
              <a:gd name="connsiteX26" fmla="*/ 1228565 w 1856332"/>
              <a:gd name="connsiteY26" fmla="*/ 3214674 h 3959924"/>
              <a:gd name="connsiteX27" fmla="*/ 925623 w 1856332"/>
              <a:gd name="connsiteY27" fmla="*/ 3959924 h 3959924"/>
              <a:gd name="connsiteX28" fmla="*/ 601623 w 1856332"/>
              <a:gd name="connsiteY28" fmla="*/ 3635924 h 3959924"/>
              <a:gd name="connsiteX29" fmla="*/ 925623 w 1856332"/>
              <a:gd name="connsiteY29" fmla="*/ 3311924 h 3959924"/>
              <a:gd name="connsiteX30" fmla="*/ 1249623 w 1856332"/>
              <a:gd name="connsiteY30" fmla="*/ 3635924 h 3959924"/>
              <a:gd name="connsiteX31" fmla="*/ 925623 w 1856332"/>
              <a:gd name="connsiteY31" fmla="*/ 3959924 h 3959924"/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466697 w 1856332"/>
              <a:gd name="connsiteY2" fmla="*/ 3144149 h 3959924"/>
              <a:gd name="connsiteX3" fmla="*/ 8303 w 1856332"/>
              <a:gd name="connsiteY3" fmla="*/ 1942070 h 3959924"/>
              <a:gd name="connsiteX4" fmla="*/ 81139 w 1856332"/>
              <a:gd name="connsiteY4" fmla="*/ 1779444 h 3959924"/>
              <a:gd name="connsiteX5" fmla="*/ 243764 w 1856332"/>
              <a:gd name="connsiteY5" fmla="*/ 1852280 h 3959924"/>
              <a:gd name="connsiteX6" fmla="*/ 504770 w 1856332"/>
              <a:gd name="connsiteY6" fmla="*/ 2536736 h 3959924"/>
              <a:gd name="connsiteX7" fmla="*/ 555637 w 1856332"/>
              <a:gd name="connsiteY7" fmla="*/ 2536736 h 3959924"/>
              <a:gd name="connsiteX8" fmla="*/ 226299 w 1856332"/>
              <a:gd name="connsiteY8" fmla="*/ 1210417 h 3959924"/>
              <a:gd name="connsiteX9" fmla="*/ 551784 w 1856332"/>
              <a:gd name="connsiteY9" fmla="*/ 1210417 h 3959924"/>
              <a:gd name="connsiteX10" fmla="*/ 551784 w 1856332"/>
              <a:gd name="connsiteY10" fmla="*/ 168335 h 3959924"/>
              <a:gd name="connsiteX11" fmla="*/ 720119 w 1856332"/>
              <a:gd name="connsiteY11" fmla="*/ 0 h 3959924"/>
              <a:gd name="connsiteX12" fmla="*/ 888454 w 1856332"/>
              <a:gd name="connsiteY12" fmla="*/ 168335 h 3959924"/>
              <a:gd name="connsiteX13" fmla="*/ 888454 w 1856332"/>
              <a:gd name="connsiteY13" fmla="*/ 1210417 h 3959924"/>
              <a:gd name="connsiteX14" fmla="*/ 968040 w 1856332"/>
              <a:gd name="connsiteY14" fmla="*/ 1210417 h 3959924"/>
              <a:gd name="connsiteX15" fmla="*/ 968040 w 1856332"/>
              <a:gd name="connsiteY15" fmla="*/ 168335 h 3959924"/>
              <a:gd name="connsiteX16" fmla="*/ 1136375 w 1856332"/>
              <a:gd name="connsiteY16" fmla="*/ 0 h 3959924"/>
              <a:gd name="connsiteX17" fmla="*/ 1304710 w 1856332"/>
              <a:gd name="connsiteY17" fmla="*/ 168335 h 3959924"/>
              <a:gd name="connsiteX18" fmla="*/ 1304710 w 1856332"/>
              <a:gd name="connsiteY18" fmla="*/ 1210417 h 3959924"/>
              <a:gd name="connsiteX19" fmla="*/ 1631589 w 1856332"/>
              <a:gd name="connsiteY19" fmla="*/ 1210417 h 3959924"/>
              <a:gd name="connsiteX20" fmla="*/ 1302251 w 1856332"/>
              <a:gd name="connsiteY20" fmla="*/ 2536736 h 3959924"/>
              <a:gd name="connsiteX21" fmla="*/ 1351562 w 1856332"/>
              <a:gd name="connsiteY21" fmla="*/ 2536736 h 3959924"/>
              <a:gd name="connsiteX22" fmla="*/ 1612568 w 1856332"/>
              <a:gd name="connsiteY22" fmla="*/ 1852280 h 3959924"/>
              <a:gd name="connsiteX23" fmla="*/ 1775193 w 1856332"/>
              <a:gd name="connsiteY23" fmla="*/ 1779444 h 3959924"/>
              <a:gd name="connsiteX24" fmla="*/ 1848029 w 1856332"/>
              <a:gd name="connsiteY24" fmla="*/ 1942070 h 3959924"/>
              <a:gd name="connsiteX25" fmla="*/ 1389635 w 1856332"/>
              <a:gd name="connsiteY25" fmla="*/ 3144149 h 3959924"/>
              <a:gd name="connsiteX26" fmla="*/ 1228565 w 1856332"/>
              <a:gd name="connsiteY26" fmla="*/ 3214674 h 3959924"/>
              <a:gd name="connsiteX27" fmla="*/ 925623 w 1856332"/>
              <a:gd name="connsiteY27" fmla="*/ 3959924 h 3959924"/>
              <a:gd name="connsiteX28" fmla="*/ 601623 w 1856332"/>
              <a:gd name="connsiteY28" fmla="*/ 3635924 h 3959924"/>
              <a:gd name="connsiteX29" fmla="*/ 925623 w 1856332"/>
              <a:gd name="connsiteY29" fmla="*/ 3311924 h 3959924"/>
              <a:gd name="connsiteX30" fmla="*/ 1249623 w 1856332"/>
              <a:gd name="connsiteY30" fmla="*/ 3635924 h 3959924"/>
              <a:gd name="connsiteX31" fmla="*/ 925623 w 1856332"/>
              <a:gd name="connsiteY31" fmla="*/ 3959924 h 39599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1856332" h="3959924">
                <a:moveTo>
                  <a:pt x="1228565" y="3214674"/>
                </a:moveTo>
                <a:lnTo>
                  <a:pt x="622681" y="3214674"/>
                </a:lnTo>
                <a:cubicBezTo>
                  <a:pt x="495703" y="3202920"/>
                  <a:pt x="501057" y="3225622"/>
                  <a:pt x="466697" y="3144149"/>
                </a:cubicBezTo>
                <a:lnTo>
                  <a:pt x="8303" y="1942070"/>
                </a:lnTo>
                <a:cubicBezTo>
                  <a:pt x="-16491" y="1877049"/>
                  <a:pt x="16118" y="1804239"/>
                  <a:pt x="81139" y="1779444"/>
                </a:cubicBezTo>
                <a:cubicBezTo>
                  <a:pt x="146160" y="1754650"/>
                  <a:pt x="218970" y="1787259"/>
                  <a:pt x="243764" y="1852280"/>
                </a:cubicBezTo>
                <a:lnTo>
                  <a:pt x="504770" y="2536736"/>
                </a:lnTo>
                <a:lnTo>
                  <a:pt x="555637" y="2536736"/>
                </a:lnTo>
                <a:lnTo>
                  <a:pt x="226299" y="1210417"/>
                </a:lnTo>
                <a:lnTo>
                  <a:pt x="551784" y="1210417"/>
                </a:lnTo>
                <a:lnTo>
                  <a:pt x="551784" y="168335"/>
                </a:lnTo>
                <a:cubicBezTo>
                  <a:pt x="551784" y="75366"/>
                  <a:pt x="627150" y="0"/>
                  <a:pt x="720119" y="0"/>
                </a:cubicBezTo>
                <a:cubicBezTo>
                  <a:pt x="813088" y="0"/>
                  <a:pt x="888454" y="75366"/>
                  <a:pt x="888454" y="168335"/>
                </a:cubicBezTo>
                <a:lnTo>
                  <a:pt x="888454" y="1210417"/>
                </a:lnTo>
                <a:lnTo>
                  <a:pt x="968040" y="1210417"/>
                </a:lnTo>
                <a:lnTo>
                  <a:pt x="968040" y="168335"/>
                </a:lnTo>
                <a:cubicBezTo>
                  <a:pt x="968040" y="75366"/>
                  <a:pt x="1043406" y="0"/>
                  <a:pt x="1136375" y="0"/>
                </a:cubicBezTo>
                <a:cubicBezTo>
                  <a:pt x="1229344" y="0"/>
                  <a:pt x="1304710" y="75366"/>
                  <a:pt x="1304710" y="168335"/>
                </a:cubicBezTo>
                <a:lnTo>
                  <a:pt x="1304710" y="1210417"/>
                </a:lnTo>
                <a:lnTo>
                  <a:pt x="1631589" y="1210417"/>
                </a:lnTo>
                <a:lnTo>
                  <a:pt x="1302251" y="2536736"/>
                </a:lnTo>
                <a:lnTo>
                  <a:pt x="1351562" y="2536736"/>
                </a:lnTo>
                <a:lnTo>
                  <a:pt x="1612568" y="1852280"/>
                </a:lnTo>
                <a:cubicBezTo>
                  <a:pt x="1637362" y="1787259"/>
                  <a:pt x="1710172" y="1754650"/>
                  <a:pt x="1775193" y="1779444"/>
                </a:cubicBezTo>
                <a:cubicBezTo>
                  <a:pt x="1840214" y="1804239"/>
                  <a:pt x="1872823" y="1877049"/>
                  <a:pt x="1848029" y="1942070"/>
                </a:cubicBezTo>
                <a:lnTo>
                  <a:pt x="1389635" y="3144149"/>
                </a:lnTo>
                <a:cubicBezTo>
                  <a:pt x="1348984" y="3225622"/>
                  <a:pt x="1356391" y="3202920"/>
                  <a:pt x="1228565" y="3214674"/>
                </a:cubicBezTo>
                <a:close/>
                <a:moveTo>
                  <a:pt x="925623" y="3959924"/>
                </a:moveTo>
                <a:cubicBezTo>
                  <a:pt x="746683" y="3959924"/>
                  <a:pt x="601623" y="3814864"/>
                  <a:pt x="601623" y="3635924"/>
                </a:cubicBezTo>
                <a:cubicBezTo>
                  <a:pt x="601623" y="3456984"/>
                  <a:pt x="746683" y="3311924"/>
                  <a:pt x="925623" y="3311924"/>
                </a:cubicBezTo>
                <a:cubicBezTo>
                  <a:pt x="1104563" y="3311924"/>
                  <a:pt x="1249623" y="3456984"/>
                  <a:pt x="1249623" y="3635924"/>
                </a:cubicBezTo>
                <a:cubicBezTo>
                  <a:pt x="1249623" y="3814864"/>
                  <a:pt x="1104563" y="3959924"/>
                  <a:pt x="925623" y="3959924"/>
                </a:cubicBezTo>
                <a:close/>
              </a:path>
            </a:pathLst>
          </a:cu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ko-KR" altLang="en-US" sz="2700"/>
          </a:p>
        </xdr:txBody>
      </xdr:sp>
      <xdr:sp macro="" textlink="เลือกรายเขต!G19">
        <xdr:nvSpPr>
          <xdr:cNvPr id="81" name="กล่องข้อความ 80">
            <a:extLst>
              <a:ext uri="{FF2B5EF4-FFF2-40B4-BE49-F238E27FC236}">
                <a16:creationId xmlns:a16="http://schemas.microsoft.com/office/drawing/2014/main" id="{F0810509-4735-C94E-A3EC-E3153EFF13CC}"/>
              </a:ext>
            </a:extLst>
          </xdr:cNvPr>
          <xdr:cNvSpPr txBox="1"/>
        </xdr:nvSpPr>
        <xdr:spPr>
          <a:xfrm>
            <a:off x="10334533" y="15084274"/>
            <a:ext cx="1602619" cy="730250"/>
          </a:xfrm>
          <a:prstGeom prst="rect">
            <a:avLst/>
          </a:prstGeom>
          <a:solidFill>
            <a:srgbClr val="FF66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D01B0EB-732A-C04C-A730-062B2D735B5C}" type="TxLink">
              <a:rPr lang="en-US" sz="3600" b="1" i="0" u="none" strike="noStrike">
                <a:solidFill>
                  <a:schemeClr val="bg1"/>
                </a:solidFill>
                <a:latin typeface="TH SarabunPSK"/>
                <a:cs typeface="TH SarabunPSK"/>
              </a:rPr>
              <a:pPr algn="ctr"/>
              <a:t> 35 </a:t>
            </a:fld>
            <a:endParaRPr lang="th-TH" sz="36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8</xdr:col>
      <xdr:colOff>208026</xdr:colOff>
      <xdr:row>58</xdr:row>
      <xdr:rowOff>174544</xdr:rowOff>
    </xdr:from>
    <xdr:to>
      <xdr:col>11</xdr:col>
      <xdr:colOff>381412</xdr:colOff>
      <xdr:row>63</xdr:row>
      <xdr:rowOff>120115</xdr:rowOff>
    </xdr:to>
    <xdr:grpSp>
      <xdr:nvGrpSpPr>
        <xdr:cNvPr id="82" name="กลุ่ม 81">
          <a:extLst>
            <a:ext uri="{FF2B5EF4-FFF2-40B4-BE49-F238E27FC236}">
              <a16:creationId xmlns:a16="http://schemas.microsoft.com/office/drawing/2014/main" id="{A8A8C85A-8BC9-D845-B957-C9F16F2BE199}"/>
            </a:ext>
          </a:extLst>
        </xdr:cNvPr>
        <xdr:cNvGrpSpPr/>
      </xdr:nvGrpSpPr>
      <xdr:grpSpPr>
        <a:xfrm>
          <a:off x="7046976" y="20586619"/>
          <a:ext cx="1945036" cy="1898196"/>
          <a:chOff x="4411097" y="13162027"/>
          <a:chExt cx="2084184" cy="1850571"/>
        </a:xfrm>
      </xdr:grpSpPr>
      <xdr:sp macro="" textlink="">
        <xdr:nvSpPr>
          <xdr:cNvPr id="83" name="TextBox 33">
            <a:extLst>
              <a:ext uri="{FF2B5EF4-FFF2-40B4-BE49-F238E27FC236}">
                <a16:creationId xmlns:a16="http://schemas.microsoft.com/office/drawing/2014/main" id="{9F49B0E0-7F9B-F545-A4E3-1109C39CAB0D}"/>
              </a:ext>
            </a:extLst>
          </xdr:cNvPr>
          <xdr:cNvSpPr txBox="1"/>
        </xdr:nvSpPr>
        <xdr:spPr>
          <a:xfrm>
            <a:off x="4412776" y="13162027"/>
            <a:ext cx="2082505" cy="942670"/>
          </a:xfrm>
          <a:prstGeom prst="rect">
            <a:avLst/>
          </a:prstGeom>
          <a:solidFill>
            <a:schemeClr val="accent1">
              <a:lumMod val="7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th-TH" sz="2400" b="1">
                <a:solidFill>
                  <a:schemeClr val="bg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ร้อยละของผู้สูงอายุ</a:t>
            </a:r>
            <a:r>
              <a:rPr lang="th-TH" sz="2400" b="1" baseline="0">
                <a:solidFill>
                  <a:schemeClr val="bg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อยู่ในภาวะพึ่งพิงที่มีผู้ดูแล</a:t>
            </a:r>
          </a:p>
          <a:p>
            <a:pPr algn="ctr"/>
            <a:endParaRPr lang="th-TH" sz="2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เลือกรายเขต!I23">
        <xdr:nvSpPr>
          <xdr:cNvPr id="84" name="TextBox 34">
            <a:extLst>
              <a:ext uri="{FF2B5EF4-FFF2-40B4-BE49-F238E27FC236}">
                <a16:creationId xmlns:a16="http://schemas.microsoft.com/office/drawing/2014/main" id="{47E76680-33C2-1645-8312-3BB0A5BF3DC9}"/>
              </a:ext>
            </a:extLst>
          </xdr:cNvPr>
          <xdr:cNvSpPr txBox="1"/>
        </xdr:nvSpPr>
        <xdr:spPr>
          <a:xfrm>
            <a:off x="4411097" y="14108029"/>
            <a:ext cx="2083794" cy="904569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0BCDFCB5-C3BF-8D4C-95F8-F0F2A9EC31CB}" type="TxLink">
              <a:rPr lang="en-US" sz="4400" b="1" i="0" u="none" strike="noStrike">
                <a:solidFill>
                  <a:srgbClr val="000000"/>
                </a:solidFill>
                <a:latin typeface="TH SarabunPSK"/>
                <a:ea typeface="Tahoma"/>
                <a:cs typeface="TH SarabunPSK"/>
              </a:rPr>
              <a:pPr algn="ctr"/>
              <a:t> 100.00 </a:t>
            </a:fld>
            <a:r>
              <a:rPr lang="en-US" sz="4400" b="1" i="0" u="none" strike="noStrike">
                <a:solidFill>
                  <a:srgbClr val="000000"/>
                </a:solidFill>
                <a:latin typeface="TH SarabunPSK"/>
                <a:ea typeface="Tahoma"/>
                <a:cs typeface="TH SarabunPSK"/>
              </a:rPr>
              <a:t>%</a:t>
            </a:r>
            <a:endParaRPr lang="th-TH" sz="44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8</xdr:col>
      <xdr:colOff>208026</xdr:colOff>
      <xdr:row>63</xdr:row>
      <xdr:rowOff>199944</xdr:rowOff>
    </xdr:from>
    <xdr:to>
      <xdr:col>11</xdr:col>
      <xdr:colOff>381412</xdr:colOff>
      <xdr:row>68</xdr:row>
      <xdr:rowOff>145515</xdr:rowOff>
    </xdr:to>
    <xdr:grpSp>
      <xdr:nvGrpSpPr>
        <xdr:cNvPr id="85" name="กลุ่ม 84">
          <a:extLst>
            <a:ext uri="{FF2B5EF4-FFF2-40B4-BE49-F238E27FC236}">
              <a16:creationId xmlns:a16="http://schemas.microsoft.com/office/drawing/2014/main" id="{EB34089B-3B51-C14C-97F2-92F71F72E341}"/>
            </a:ext>
          </a:extLst>
        </xdr:cNvPr>
        <xdr:cNvGrpSpPr/>
      </xdr:nvGrpSpPr>
      <xdr:grpSpPr>
        <a:xfrm>
          <a:off x="7046976" y="22564644"/>
          <a:ext cx="1945036" cy="1898196"/>
          <a:chOff x="4411097" y="13162027"/>
          <a:chExt cx="2084184" cy="1850571"/>
        </a:xfrm>
      </xdr:grpSpPr>
      <xdr:sp macro="" textlink="">
        <xdr:nvSpPr>
          <xdr:cNvPr id="86" name="TextBox 33">
            <a:extLst>
              <a:ext uri="{FF2B5EF4-FFF2-40B4-BE49-F238E27FC236}">
                <a16:creationId xmlns:a16="http://schemas.microsoft.com/office/drawing/2014/main" id="{496853E2-DDAE-4C4E-837A-9C052FC7BDDB}"/>
              </a:ext>
            </a:extLst>
          </xdr:cNvPr>
          <xdr:cNvSpPr txBox="1"/>
        </xdr:nvSpPr>
        <xdr:spPr>
          <a:xfrm>
            <a:off x="4412776" y="13162027"/>
            <a:ext cx="2082505" cy="942670"/>
          </a:xfrm>
          <a:prstGeom prst="rect">
            <a:avLst/>
          </a:prstGeom>
          <a:solidFill>
            <a:schemeClr val="accent1">
              <a:lumMod val="7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th-TH" sz="2400" b="1">
                <a:solidFill>
                  <a:schemeClr val="bg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จำนวนผู้สูงอายุที่อยู่ในภาวะพึ่งพิงที่มีผู้ดูแล</a:t>
            </a:r>
          </a:p>
        </xdr:txBody>
      </xdr:sp>
      <xdr:sp macro="" textlink="เลือกรายเขต!C23">
        <xdr:nvSpPr>
          <xdr:cNvPr id="87" name="TextBox 34">
            <a:extLst>
              <a:ext uri="{FF2B5EF4-FFF2-40B4-BE49-F238E27FC236}">
                <a16:creationId xmlns:a16="http://schemas.microsoft.com/office/drawing/2014/main" id="{C3A01F2E-38EE-674B-867B-964525846251}"/>
              </a:ext>
            </a:extLst>
          </xdr:cNvPr>
          <xdr:cNvSpPr txBox="1"/>
        </xdr:nvSpPr>
        <xdr:spPr>
          <a:xfrm>
            <a:off x="4411097" y="14108029"/>
            <a:ext cx="2083794" cy="904569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061CEECB-426E-B14F-82E4-1771867E5FFF}" type="TxLink">
              <a:rPr lang="en-US" sz="4400" b="1" i="0" u="none" strike="noStrike">
                <a:solidFill>
                  <a:schemeClr val="tx1"/>
                </a:solidFill>
                <a:latin typeface="TH SarabunPSK"/>
                <a:ea typeface="Tahoma"/>
                <a:cs typeface="TH SarabunPSK"/>
              </a:rPr>
              <a:pPr algn="ctr"/>
              <a:t> 55 </a:t>
            </a:fld>
            <a:r>
              <a:rPr lang="th-TH" sz="4400" b="1" i="0" u="none" strike="noStrike">
                <a:solidFill>
                  <a:schemeClr val="tx1"/>
                </a:solidFill>
                <a:latin typeface="TH SarabunPSK"/>
                <a:ea typeface="Tahoma"/>
                <a:cs typeface="TH SarabunPSK"/>
              </a:rPr>
              <a:t>คน</a:t>
            </a:r>
            <a:endParaRPr lang="th-TH" sz="4400" b="1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11</xdr:col>
      <xdr:colOff>587829</xdr:colOff>
      <xdr:row>58</xdr:row>
      <xdr:rowOff>380999</xdr:rowOff>
    </xdr:from>
    <xdr:to>
      <xdr:col>14</xdr:col>
      <xdr:colOff>177801</xdr:colOff>
      <xdr:row>67</xdr:row>
      <xdr:rowOff>259770</xdr:rowOff>
    </xdr:to>
    <xdr:grpSp>
      <xdr:nvGrpSpPr>
        <xdr:cNvPr id="88" name="กลุ่ม 87">
          <a:extLst>
            <a:ext uri="{FF2B5EF4-FFF2-40B4-BE49-F238E27FC236}">
              <a16:creationId xmlns:a16="http://schemas.microsoft.com/office/drawing/2014/main" id="{F24015E6-5269-B04F-80BD-F8F5592458C3}"/>
            </a:ext>
          </a:extLst>
        </xdr:cNvPr>
        <xdr:cNvGrpSpPr/>
      </xdr:nvGrpSpPr>
      <xdr:grpSpPr>
        <a:xfrm>
          <a:off x="9198429" y="20793074"/>
          <a:ext cx="1628322" cy="3393496"/>
          <a:chOff x="10150929" y="12364356"/>
          <a:chExt cx="1992685" cy="3513666"/>
        </a:xfrm>
      </xdr:grpSpPr>
      <xdr:sp macro="" textlink="">
        <xdr:nvSpPr>
          <xdr:cNvPr id="89" name="กล่องข้อความ 88">
            <a:extLst>
              <a:ext uri="{FF2B5EF4-FFF2-40B4-BE49-F238E27FC236}">
                <a16:creationId xmlns:a16="http://schemas.microsoft.com/office/drawing/2014/main" id="{0397BC40-73BF-2A47-BA9A-0F8326EE1DE7}"/>
              </a:ext>
            </a:extLst>
          </xdr:cNvPr>
          <xdr:cNvSpPr txBox="1"/>
        </xdr:nvSpPr>
        <xdr:spPr>
          <a:xfrm>
            <a:off x="10150929" y="12364356"/>
            <a:ext cx="1992685" cy="3513666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100"/>
          </a:p>
        </xdr:txBody>
      </xdr:sp>
      <xdr:sp macro="" textlink="">
        <xdr:nvSpPr>
          <xdr:cNvPr id="90" name="Round Same Side Corner Rectangle 8">
            <a:extLst>
              <a:ext uri="{FF2B5EF4-FFF2-40B4-BE49-F238E27FC236}">
                <a16:creationId xmlns:a16="http://schemas.microsoft.com/office/drawing/2014/main" id="{F40044D0-EE59-8C49-9D9D-3E02D2B8BB66}"/>
              </a:ext>
            </a:extLst>
          </xdr:cNvPr>
          <xdr:cNvSpPr/>
        </xdr:nvSpPr>
        <xdr:spPr>
          <a:xfrm>
            <a:off x="10997787" y="12491357"/>
            <a:ext cx="343201" cy="824009"/>
          </a:xfrm>
          <a:custGeom>
            <a:avLst/>
            <a:gdLst>
              <a:gd name="connsiteX0" fmla="*/ 280204 w 1489775"/>
              <a:gd name="connsiteY0" fmla="*/ 750754 h 3923699"/>
              <a:gd name="connsiteX1" fmla="*/ 1209570 w 1489775"/>
              <a:gd name="connsiteY1" fmla="*/ 750754 h 3923699"/>
              <a:gd name="connsiteX2" fmla="*/ 1489774 w 1489775"/>
              <a:gd name="connsiteY2" fmla="*/ 1030958 h 3923699"/>
              <a:gd name="connsiteX3" fmla="*/ 1489774 w 1489775"/>
              <a:gd name="connsiteY3" fmla="*/ 1293518 h 3923699"/>
              <a:gd name="connsiteX4" fmla="*/ 1489775 w 1489775"/>
              <a:gd name="connsiteY4" fmla="*/ 1293518 h 3923699"/>
              <a:gd name="connsiteX5" fmla="*/ 1489775 w 1489775"/>
              <a:gd name="connsiteY5" fmla="*/ 2063902 h 3923699"/>
              <a:gd name="connsiteX6" fmla="*/ 1345759 w 1489775"/>
              <a:gd name="connsiteY6" fmla="*/ 2207918 h 3923699"/>
              <a:gd name="connsiteX7" fmla="*/ 1201743 w 1489775"/>
              <a:gd name="connsiteY7" fmla="*/ 2063902 h 3923699"/>
              <a:gd name="connsiteX8" fmla="*/ 1201743 w 1489775"/>
              <a:gd name="connsiteY8" fmla="*/ 1390678 h 3923699"/>
              <a:gd name="connsiteX9" fmla="*/ 1158887 w 1489775"/>
              <a:gd name="connsiteY9" fmla="*/ 1390678 h 3923699"/>
              <a:gd name="connsiteX10" fmla="*/ 1158887 w 1489775"/>
              <a:gd name="connsiteY10" fmla="*/ 2305078 h 3923699"/>
              <a:gd name="connsiteX11" fmla="*/ 1151853 w 1489775"/>
              <a:gd name="connsiteY11" fmla="*/ 3743699 h 3923699"/>
              <a:gd name="connsiteX12" fmla="*/ 971853 w 1489775"/>
              <a:gd name="connsiteY12" fmla="*/ 3923699 h 3923699"/>
              <a:gd name="connsiteX13" fmla="*/ 791853 w 1489775"/>
              <a:gd name="connsiteY13" fmla="*/ 3743699 h 3923699"/>
              <a:gd name="connsiteX14" fmla="*/ 791853 w 1489775"/>
              <a:gd name="connsiteY14" fmla="*/ 2305078 h 3923699"/>
              <a:gd name="connsiteX15" fmla="*/ 683854 w 1489775"/>
              <a:gd name="connsiteY15" fmla="*/ 2305078 h 3923699"/>
              <a:gd name="connsiteX16" fmla="*/ 683854 w 1489775"/>
              <a:gd name="connsiteY16" fmla="*/ 3743698 h 3923699"/>
              <a:gd name="connsiteX17" fmla="*/ 503854 w 1489775"/>
              <a:gd name="connsiteY17" fmla="*/ 3923698 h 3923699"/>
              <a:gd name="connsiteX18" fmla="*/ 323854 w 1489775"/>
              <a:gd name="connsiteY18" fmla="*/ 3743698 h 3923699"/>
              <a:gd name="connsiteX19" fmla="*/ 323854 w 1489775"/>
              <a:gd name="connsiteY19" fmla="*/ 2238914 h 3923699"/>
              <a:gd name="connsiteX20" fmla="*/ 330887 w 1489775"/>
              <a:gd name="connsiteY20" fmla="*/ 2238914 h 3923699"/>
              <a:gd name="connsiteX21" fmla="*/ 330887 w 1489775"/>
              <a:gd name="connsiteY21" fmla="*/ 1390678 h 3923699"/>
              <a:gd name="connsiteX22" fmla="*/ 288033 w 1489775"/>
              <a:gd name="connsiteY22" fmla="*/ 1390678 h 3923699"/>
              <a:gd name="connsiteX23" fmla="*/ 288033 w 1489775"/>
              <a:gd name="connsiteY23" fmla="*/ 2063902 h 3923699"/>
              <a:gd name="connsiteX24" fmla="*/ 144017 w 1489775"/>
              <a:gd name="connsiteY24" fmla="*/ 2207918 h 3923699"/>
              <a:gd name="connsiteX25" fmla="*/ 1 w 1489775"/>
              <a:gd name="connsiteY25" fmla="*/ 2063902 h 3923699"/>
              <a:gd name="connsiteX26" fmla="*/ 1 w 1489775"/>
              <a:gd name="connsiteY26" fmla="*/ 1390678 h 3923699"/>
              <a:gd name="connsiteX27" fmla="*/ 0 w 1489775"/>
              <a:gd name="connsiteY27" fmla="*/ 1390678 h 3923699"/>
              <a:gd name="connsiteX28" fmla="*/ 0 w 1489775"/>
              <a:gd name="connsiteY28" fmla="*/ 1030958 h 3923699"/>
              <a:gd name="connsiteX29" fmla="*/ 280204 w 1489775"/>
              <a:gd name="connsiteY29" fmla="*/ 750754 h 3923699"/>
              <a:gd name="connsiteX30" fmla="*/ 744888 w 1489775"/>
              <a:gd name="connsiteY30" fmla="*/ 0 h 3923699"/>
              <a:gd name="connsiteX31" fmla="*/ 1082199 w 1489775"/>
              <a:gd name="connsiteY31" fmla="*/ 337311 h 3923699"/>
              <a:gd name="connsiteX32" fmla="*/ 744888 w 1489775"/>
              <a:gd name="connsiteY32" fmla="*/ 674622 h 3923699"/>
              <a:gd name="connsiteX33" fmla="*/ 407577 w 1489775"/>
              <a:gd name="connsiteY33" fmla="*/ 337311 h 3923699"/>
              <a:gd name="connsiteX34" fmla="*/ 744888 w 1489775"/>
              <a:gd name="connsiteY34" fmla="*/ 0 h 3923699"/>
              <a:gd name="connsiteX0" fmla="*/ 280204 w 1489775"/>
              <a:gd name="connsiteY0" fmla="*/ 750754 h 3923699"/>
              <a:gd name="connsiteX1" fmla="*/ 1209570 w 1489775"/>
              <a:gd name="connsiteY1" fmla="*/ 750754 h 3923699"/>
              <a:gd name="connsiteX2" fmla="*/ 1489774 w 1489775"/>
              <a:gd name="connsiteY2" fmla="*/ 1030958 h 3923699"/>
              <a:gd name="connsiteX3" fmla="*/ 1489774 w 1489775"/>
              <a:gd name="connsiteY3" fmla="*/ 1293518 h 3923699"/>
              <a:gd name="connsiteX4" fmla="*/ 1489775 w 1489775"/>
              <a:gd name="connsiteY4" fmla="*/ 1293518 h 3923699"/>
              <a:gd name="connsiteX5" fmla="*/ 1489775 w 1489775"/>
              <a:gd name="connsiteY5" fmla="*/ 2063902 h 3923699"/>
              <a:gd name="connsiteX6" fmla="*/ 1345759 w 1489775"/>
              <a:gd name="connsiteY6" fmla="*/ 2207918 h 3923699"/>
              <a:gd name="connsiteX7" fmla="*/ 1201743 w 1489775"/>
              <a:gd name="connsiteY7" fmla="*/ 2063902 h 3923699"/>
              <a:gd name="connsiteX8" fmla="*/ 1201743 w 1489775"/>
              <a:gd name="connsiteY8" fmla="*/ 1390678 h 3923699"/>
              <a:gd name="connsiteX9" fmla="*/ 1158887 w 1489775"/>
              <a:gd name="connsiteY9" fmla="*/ 1390678 h 3923699"/>
              <a:gd name="connsiteX10" fmla="*/ 1151853 w 1489775"/>
              <a:gd name="connsiteY10" fmla="*/ 3743699 h 3923699"/>
              <a:gd name="connsiteX11" fmla="*/ 971853 w 1489775"/>
              <a:gd name="connsiteY11" fmla="*/ 3923699 h 3923699"/>
              <a:gd name="connsiteX12" fmla="*/ 791853 w 1489775"/>
              <a:gd name="connsiteY12" fmla="*/ 3743699 h 3923699"/>
              <a:gd name="connsiteX13" fmla="*/ 791853 w 1489775"/>
              <a:gd name="connsiteY13" fmla="*/ 2305078 h 3923699"/>
              <a:gd name="connsiteX14" fmla="*/ 683854 w 1489775"/>
              <a:gd name="connsiteY14" fmla="*/ 2305078 h 3923699"/>
              <a:gd name="connsiteX15" fmla="*/ 683854 w 1489775"/>
              <a:gd name="connsiteY15" fmla="*/ 3743698 h 3923699"/>
              <a:gd name="connsiteX16" fmla="*/ 503854 w 1489775"/>
              <a:gd name="connsiteY16" fmla="*/ 3923698 h 3923699"/>
              <a:gd name="connsiteX17" fmla="*/ 323854 w 1489775"/>
              <a:gd name="connsiteY17" fmla="*/ 3743698 h 3923699"/>
              <a:gd name="connsiteX18" fmla="*/ 323854 w 1489775"/>
              <a:gd name="connsiteY18" fmla="*/ 2238914 h 3923699"/>
              <a:gd name="connsiteX19" fmla="*/ 330887 w 1489775"/>
              <a:gd name="connsiteY19" fmla="*/ 2238914 h 3923699"/>
              <a:gd name="connsiteX20" fmla="*/ 330887 w 1489775"/>
              <a:gd name="connsiteY20" fmla="*/ 1390678 h 3923699"/>
              <a:gd name="connsiteX21" fmla="*/ 288033 w 1489775"/>
              <a:gd name="connsiteY21" fmla="*/ 1390678 h 3923699"/>
              <a:gd name="connsiteX22" fmla="*/ 288033 w 1489775"/>
              <a:gd name="connsiteY22" fmla="*/ 2063902 h 3923699"/>
              <a:gd name="connsiteX23" fmla="*/ 144017 w 1489775"/>
              <a:gd name="connsiteY23" fmla="*/ 2207918 h 3923699"/>
              <a:gd name="connsiteX24" fmla="*/ 1 w 1489775"/>
              <a:gd name="connsiteY24" fmla="*/ 2063902 h 3923699"/>
              <a:gd name="connsiteX25" fmla="*/ 1 w 1489775"/>
              <a:gd name="connsiteY25" fmla="*/ 1390678 h 3923699"/>
              <a:gd name="connsiteX26" fmla="*/ 0 w 1489775"/>
              <a:gd name="connsiteY26" fmla="*/ 1390678 h 3923699"/>
              <a:gd name="connsiteX27" fmla="*/ 0 w 1489775"/>
              <a:gd name="connsiteY27" fmla="*/ 1030958 h 3923699"/>
              <a:gd name="connsiteX28" fmla="*/ 280204 w 1489775"/>
              <a:gd name="connsiteY28" fmla="*/ 750754 h 3923699"/>
              <a:gd name="connsiteX29" fmla="*/ 744888 w 1489775"/>
              <a:gd name="connsiteY29" fmla="*/ 0 h 3923699"/>
              <a:gd name="connsiteX30" fmla="*/ 1082199 w 1489775"/>
              <a:gd name="connsiteY30" fmla="*/ 337311 h 3923699"/>
              <a:gd name="connsiteX31" fmla="*/ 744888 w 1489775"/>
              <a:gd name="connsiteY31" fmla="*/ 674622 h 3923699"/>
              <a:gd name="connsiteX32" fmla="*/ 407577 w 1489775"/>
              <a:gd name="connsiteY32" fmla="*/ 337311 h 3923699"/>
              <a:gd name="connsiteX33" fmla="*/ 744888 w 1489775"/>
              <a:gd name="connsiteY33" fmla="*/ 0 h 3923699"/>
              <a:gd name="connsiteX0" fmla="*/ 280204 w 1489775"/>
              <a:gd name="connsiteY0" fmla="*/ 750754 h 3923699"/>
              <a:gd name="connsiteX1" fmla="*/ 1209570 w 1489775"/>
              <a:gd name="connsiteY1" fmla="*/ 750754 h 3923699"/>
              <a:gd name="connsiteX2" fmla="*/ 1489774 w 1489775"/>
              <a:gd name="connsiteY2" fmla="*/ 1030958 h 3923699"/>
              <a:gd name="connsiteX3" fmla="*/ 1489774 w 1489775"/>
              <a:gd name="connsiteY3" fmla="*/ 1293518 h 3923699"/>
              <a:gd name="connsiteX4" fmla="*/ 1489775 w 1489775"/>
              <a:gd name="connsiteY4" fmla="*/ 1293518 h 3923699"/>
              <a:gd name="connsiteX5" fmla="*/ 1489775 w 1489775"/>
              <a:gd name="connsiteY5" fmla="*/ 2063902 h 3923699"/>
              <a:gd name="connsiteX6" fmla="*/ 1345759 w 1489775"/>
              <a:gd name="connsiteY6" fmla="*/ 2207918 h 3923699"/>
              <a:gd name="connsiteX7" fmla="*/ 1201743 w 1489775"/>
              <a:gd name="connsiteY7" fmla="*/ 2063902 h 3923699"/>
              <a:gd name="connsiteX8" fmla="*/ 1201743 w 1489775"/>
              <a:gd name="connsiteY8" fmla="*/ 1390678 h 3923699"/>
              <a:gd name="connsiteX9" fmla="*/ 1158887 w 1489775"/>
              <a:gd name="connsiteY9" fmla="*/ 1390678 h 3923699"/>
              <a:gd name="connsiteX10" fmla="*/ 1151853 w 1489775"/>
              <a:gd name="connsiteY10" fmla="*/ 3743699 h 3923699"/>
              <a:gd name="connsiteX11" fmla="*/ 971853 w 1489775"/>
              <a:gd name="connsiteY11" fmla="*/ 3923699 h 3923699"/>
              <a:gd name="connsiteX12" fmla="*/ 791853 w 1489775"/>
              <a:gd name="connsiteY12" fmla="*/ 3743699 h 3923699"/>
              <a:gd name="connsiteX13" fmla="*/ 791853 w 1489775"/>
              <a:gd name="connsiteY13" fmla="*/ 2305078 h 3923699"/>
              <a:gd name="connsiteX14" fmla="*/ 683854 w 1489775"/>
              <a:gd name="connsiteY14" fmla="*/ 2305078 h 3923699"/>
              <a:gd name="connsiteX15" fmla="*/ 683854 w 1489775"/>
              <a:gd name="connsiteY15" fmla="*/ 3743698 h 3923699"/>
              <a:gd name="connsiteX16" fmla="*/ 503854 w 1489775"/>
              <a:gd name="connsiteY16" fmla="*/ 3923698 h 3923699"/>
              <a:gd name="connsiteX17" fmla="*/ 323854 w 1489775"/>
              <a:gd name="connsiteY17" fmla="*/ 3743698 h 3923699"/>
              <a:gd name="connsiteX18" fmla="*/ 323854 w 1489775"/>
              <a:gd name="connsiteY18" fmla="*/ 2238914 h 3923699"/>
              <a:gd name="connsiteX19" fmla="*/ 330887 w 1489775"/>
              <a:gd name="connsiteY19" fmla="*/ 1390678 h 3923699"/>
              <a:gd name="connsiteX20" fmla="*/ 288033 w 1489775"/>
              <a:gd name="connsiteY20" fmla="*/ 1390678 h 3923699"/>
              <a:gd name="connsiteX21" fmla="*/ 288033 w 1489775"/>
              <a:gd name="connsiteY21" fmla="*/ 2063902 h 3923699"/>
              <a:gd name="connsiteX22" fmla="*/ 144017 w 1489775"/>
              <a:gd name="connsiteY22" fmla="*/ 2207918 h 3923699"/>
              <a:gd name="connsiteX23" fmla="*/ 1 w 1489775"/>
              <a:gd name="connsiteY23" fmla="*/ 2063902 h 3923699"/>
              <a:gd name="connsiteX24" fmla="*/ 1 w 1489775"/>
              <a:gd name="connsiteY24" fmla="*/ 1390678 h 3923699"/>
              <a:gd name="connsiteX25" fmla="*/ 0 w 1489775"/>
              <a:gd name="connsiteY25" fmla="*/ 1390678 h 3923699"/>
              <a:gd name="connsiteX26" fmla="*/ 0 w 1489775"/>
              <a:gd name="connsiteY26" fmla="*/ 1030958 h 3923699"/>
              <a:gd name="connsiteX27" fmla="*/ 280204 w 1489775"/>
              <a:gd name="connsiteY27" fmla="*/ 750754 h 3923699"/>
              <a:gd name="connsiteX28" fmla="*/ 744888 w 1489775"/>
              <a:gd name="connsiteY28" fmla="*/ 0 h 3923699"/>
              <a:gd name="connsiteX29" fmla="*/ 1082199 w 1489775"/>
              <a:gd name="connsiteY29" fmla="*/ 337311 h 3923699"/>
              <a:gd name="connsiteX30" fmla="*/ 744888 w 1489775"/>
              <a:gd name="connsiteY30" fmla="*/ 674622 h 3923699"/>
              <a:gd name="connsiteX31" fmla="*/ 407577 w 1489775"/>
              <a:gd name="connsiteY31" fmla="*/ 337311 h 3923699"/>
              <a:gd name="connsiteX32" fmla="*/ 744888 w 1489775"/>
              <a:gd name="connsiteY32" fmla="*/ 0 h 3923699"/>
              <a:gd name="connsiteX0" fmla="*/ 280204 w 1489775"/>
              <a:gd name="connsiteY0" fmla="*/ 750754 h 3923699"/>
              <a:gd name="connsiteX1" fmla="*/ 1209570 w 1489775"/>
              <a:gd name="connsiteY1" fmla="*/ 750754 h 3923699"/>
              <a:gd name="connsiteX2" fmla="*/ 1489774 w 1489775"/>
              <a:gd name="connsiteY2" fmla="*/ 1030958 h 3923699"/>
              <a:gd name="connsiteX3" fmla="*/ 1489774 w 1489775"/>
              <a:gd name="connsiteY3" fmla="*/ 1293518 h 3923699"/>
              <a:gd name="connsiteX4" fmla="*/ 1489775 w 1489775"/>
              <a:gd name="connsiteY4" fmla="*/ 1293518 h 3923699"/>
              <a:gd name="connsiteX5" fmla="*/ 1489775 w 1489775"/>
              <a:gd name="connsiteY5" fmla="*/ 2063902 h 3923699"/>
              <a:gd name="connsiteX6" fmla="*/ 1345759 w 1489775"/>
              <a:gd name="connsiteY6" fmla="*/ 2207918 h 3923699"/>
              <a:gd name="connsiteX7" fmla="*/ 1201743 w 1489775"/>
              <a:gd name="connsiteY7" fmla="*/ 2063902 h 3923699"/>
              <a:gd name="connsiteX8" fmla="*/ 1201743 w 1489775"/>
              <a:gd name="connsiteY8" fmla="*/ 1390678 h 3923699"/>
              <a:gd name="connsiteX9" fmla="*/ 1158887 w 1489775"/>
              <a:gd name="connsiteY9" fmla="*/ 1390678 h 3923699"/>
              <a:gd name="connsiteX10" fmla="*/ 1151853 w 1489775"/>
              <a:gd name="connsiteY10" fmla="*/ 3743699 h 3923699"/>
              <a:gd name="connsiteX11" fmla="*/ 971853 w 1489775"/>
              <a:gd name="connsiteY11" fmla="*/ 3923699 h 3923699"/>
              <a:gd name="connsiteX12" fmla="*/ 791853 w 1489775"/>
              <a:gd name="connsiteY12" fmla="*/ 3743699 h 3923699"/>
              <a:gd name="connsiteX13" fmla="*/ 791853 w 1489775"/>
              <a:gd name="connsiteY13" fmla="*/ 2305078 h 3923699"/>
              <a:gd name="connsiteX14" fmla="*/ 683854 w 1489775"/>
              <a:gd name="connsiteY14" fmla="*/ 2305078 h 3923699"/>
              <a:gd name="connsiteX15" fmla="*/ 683854 w 1489775"/>
              <a:gd name="connsiteY15" fmla="*/ 3743698 h 3923699"/>
              <a:gd name="connsiteX16" fmla="*/ 503854 w 1489775"/>
              <a:gd name="connsiteY16" fmla="*/ 3923698 h 3923699"/>
              <a:gd name="connsiteX17" fmla="*/ 323854 w 1489775"/>
              <a:gd name="connsiteY17" fmla="*/ 3743698 h 3923699"/>
              <a:gd name="connsiteX18" fmla="*/ 330887 w 1489775"/>
              <a:gd name="connsiteY18" fmla="*/ 1390678 h 3923699"/>
              <a:gd name="connsiteX19" fmla="*/ 288033 w 1489775"/>
              <a:gd name="connsiteY19" fmla="*/ 1390678 h 3923699"/>
              <a:gd name="connsiteX20" fmla="*/ 288033 w 1489775"/>
              <a:gd name="connsiteY20" fmla="*/ 2063902 h 3923699"/>
              <a:gd name="connsiteX21" fmla="*/ 144017 w 1489775"/>
              <a:gd name="connsiteY21" fmla="*/ 2207918 h 3923699"/>
              <a:gd name="connsiteX22" fmla="*/ 1 w 1489775"/>
              <a:gd name="connsiteY22" fmla="*/ 2063902 h 3923699"/>
              <a:gd name="connsiteX23" fmla="*/ 1 w 1489775"/>
              <a:gd name="connsiteY23" fmla="*/ 1390678 h 3923699"/>
              <a:gd name="connsiteX24" fmla="*/ 0 w 1489775"/>
              <a:gd name="connsiteY24" fmla="*/ 1390678 h 3923699"/>
              <a:gd name="connsiteX25" fmla="*/ 0 w 1489775"/>
              <a:gd name="connsiteY25" fmla="*/ 1030958 h 3923699"/>
              <a:gd name="connsiteX26" fmla="*/ 280204 w 1489775"/>
              <a:gd name="connsiteY26" fmla="*/ 750754 h 3923699"/>
              <a:gd name="connsiteX27" fmla="*/ 744888 w 1489775"/>
              <a:gd name="connsiteY27" fmla="*/ 0 h 3923699"/>
              <a:gd name="connsiteX28" fmla="*/ 1082199 w 1489775"/>
              <a:gd name="connsiteY28" fmla="*/ 337311 h 3923699"/>
              <a:gd name="connsiteX29" fmla="*/ 744888 w 1489775"/>
              <a:gd name="connsiteY29" fmla="*/ 674622 h 3923699"/>
              <a:gd name="connsiteX30" fmla="*/ 407577 w 1489775"/>
              <a:gd name="connsiteY30" fmla="*/ 337311 h 3923699"/>
              <a:gd name="connsiteX31" fmla="*/ 744888 w 1489775"/>
              <a:gd name="connsiteY31" fmla="*/ 0 h 3923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1489775" h="3923699">
                <a:moveTo>
                  <a:pt x="280204" y="750754"/>
                </a:moveTo>
                <a:lnTo>
                  <a:pt x="1209570" y="750754"/>
                </a:lnTo>
                <a:cubicBezTo>
                  <a:pt x="1364322" y="750754"/>
                  <a:pt x="1489774" y="876206"/>
                  <a:pt x="1489774" y="1030958"/>
                </a:cubicBezTo>
                <a:lnTo>
                  <a:pt x="1489774" y="1293518"/>
                </a:lnTo>
                <a:lnTo>
                  <a:pt x="1489775" y="1293518"/>
                </a:lnTo>
                <a:lnTo>
                  <a:pt x="1489775" y="2063902"/>
                </a:lnTo>
                <a:cubicBezTo>
                  <a:pt x="1489775" y="2143440"/>
                  <a:pt x="1425297" y="2207918"/>
                  <a:pt x="1345759" y="2207918"/>
                </a:cubicBezTo>
                <a:cubicBezTo>
                  <a:pt x="1266221" y="2207918"/>
                  <a:pt x="1201743" y="2143440"/>
                  <a:pt x="1201743" y="2063902"/>
                </a:cubicBezTo>
                <a:lnTo>
                  <a:pt x="1201743" y="1390678"/>
                </a:lnTo>
                <a:lnTo>
                  <a:pt x="1158887" y="1390678"/>
                </a:lnTo>
                <a:cubicBezTo>
                  <a:pt x="1156542" y="2175018"/>
                  <a:pt x="1154198" y="2959359"/>
                  <a:pt x="1151853" y="3743699"/>
                </a:cubicBezTo>
                <a:cubicBezTo>
                  <a:pt x="1151853" y="3843110"/>
                  <a:pt x="1071264" y="3923699"/>
                  <a:pt x="971853" y="3923699"/>
                </a:cubicBezTo>
                <a:cubicBezTo>
                  <a:pt x="872442" y="3923699"/>
                  <a:pt x="791853" y="3843110"/>
                  <a:pt x="791853" y="3743699"/>
                </a:cubicBezTo>
                <a:lnTo>
                  <a:pt x="791853" y="2305078"/>
                </a:lnTo>
                <a:lnTo>
                  <a:pt x="683854" y="2305078"/>
                </a:lnTo>
                <a:lnTo>
                  <a:pt x="683854" y="3743698"/>
                </a:lnTo>
                <a:cubicBezTo>
                  <a:pt x="683854" y="3843109"/>
                  <a:pt x="603265" y="3923698"/>
                  <a:pt x="503854" y="3923698"/>
                </a:cubicBezTo>
                <a:cubicBezTo>
                  <a:pt x="404443" y="3923698"/>
                  <a:pt x="323854" y="3843109"/>
                  <a:pt x="323854" y="3743698"/>
                </a:cubicBezTo>
                <a:cubicBezTo>
                  <a:pt x="326198" y="2959358"/>
                  <a:pt x="328543" y="2175018"/>
                  <a:pt x="330887" y="1390678"/>
                </a:cubicBezTo>
                <a:lnTo>
                  <a:pt x="288033" y="1390678"/>
                </a:lnTo>
                <a:lnTo>
                  <a:pt x="288033" y="2063902"/>
                </a:lnTo>
                <a:cubicBezTo>
                  <a:pt x="288033" y="2143440"/>
                  <a:pt x="223555" y="2207918"/>
                  <a:pt x="144017" y="2207918"/>
                </a:cubicBezTo>
                <a:cubicBezTo>
                  <a:pt x="64479" y="2207918"/>
                  <a:pt x="1" y="2143440"/>
                  <a:pt x="1" y="2063902"/>
                </a:cubicBezTo>
                <a:lnTo>
                  <a:pt x="1" y="1390678"/>
                </a:lnTo>
                <a:lnTo>
                  <a:pt x="0" y="1390678"/>
                </a:lnTo>
                <a:lnTo>
                  <a:pt x="0" y="1030958"/>
                </a:lnTo>
                <a:cubicBezTo>
                  <a:pt x="0" y="876206"/>
                  <a:pt x="125452" y="750754"/>
                  <a:pt x="280204" y="750754"/>
                </a:cubicBezTo>
                <a:close/>
                <a:moveTo>
                  <a:pt x="744888" y="0"/>
                </a:moveTo>
                <a:cubicBezTo>
                  <a:pt x="931180" y="0"/>
                  <a:pt x="1082199" y="151019"/>
                  <a:pt x="1082199" y="337311"/>
                </a:cubicBezTo>
                <a:cubicBezTo>
                  <a:pt x="1082199" y="523603"/>
                  <a:pt x="931180" y="674622"/>
                  <a:pt x="744888" y="674622"/>
                </a:cubicBezTo>
                <a:cubicBezTo>
                  <a:pt x="558596" y="674622"/>
                  <a:pt x="407577" y="523603"/>
                  <a:pt x="407577" y="337311"/>
                </a:cubicBezTo>
                <a:cubicBezTo>
                  <a:pt x="407577" y="151019"/>
                  <a:pt x="558596" y="0"/>
                  <a:pt x="744888" y="0"/>
                </a:cubicBezTo>
                <a:close/>
              </a:path>
            </a:pathLst>
          </a:cu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ko-KR" altLang="en-US" sz="2700">
              <a:solidFill>
                <a:schemeClr val="bg1"/>
              </a:solidFill>
            </a:endParaRPr>
          </a:p>
        </xdr:txBody>
      </xdr:sp>
      <xdr:sp macro="" textlink="เลือกรายเขต!E23">
        <xdr:nvSpPr>
          <xdr:cNvPr id="91" name="กล่องข้อความ 90">
            <a:extLst>
              <a:ext uri="{FF2B5EF4-FFF2-40B4-BE49-F238E27FC236}">
                <a16:creationId xmlns:a16="http://schemas.microsoft.com/office/drawing/2014/main" id="{C0AA8187-CCBA-4441-97C0-7F8364BCEF08}"/>
              </a:ext>
            </a:extLst>
          </xdr:cNvPr>
          <xdr:cNvSpPr txBox="1"/>
        </xdr:nvSpPr>
        <xdr:spPr>
          <a:xfrm>
            <a:off x="10358251" y="13348608"/>
            <a:ext cx="1602619" cy="624417"/>
          </a:xfrm>
          <a:prstGeom prst="rect">
            <a:avLst/>
          </a:prstGeom>
          <a:solidFill>
            <a:schemeClr val="accen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E3691F1-02EB-8944-A2AE-4EBB8B6DF7C4}" type="TxLink">
              <a:rPr lang="en-US" sz="3600" b="1" i="0" u="none" strike="noStrike">
                <a:solidFill>
                  <a:schemeClr val="bg1"/>
                </a:solidFill>
                <a:latin typeface="TH SarabunPSK"/>
                <a:cs typeface="TH SarabunPSK"/>
              </a:rPr>
              <a:pPr algn="ctr"/>
              <a:t> 20 </a:t>
            </a:fld>
            <a:endParaRPr lang="th-TH" sz="3600" b="1">
              <a:solidFill>
                <a:schemeClr val="bg1"/>
              </a:solidFill>
            </a:endParaRPr>
          </a:p>
        </xdr:txBody>
      </xdr:sp>
      <xdr:sp macro="" textlink="">
        <xdr:nvSpPr>
          <xdr:cNvPr id="92" name="Round Same Side Corner Rectangle 20">
            <a:extLst>
              <a:ext uri="{FF2B5EF4-FFF2-40B4-BE49-F238E27FC236}">
                <a16:creationId xmlns:a16="http://schemas.microsoft.com/office/drawing/2014/main" id="{82014598-7F26-6049-AEC0-F50E9E37B36E}"/>
              </a:ext>
            </a:extLst>
          </xdr:cNvPr>
          <xdr:cNvSpPr/>
        </xdr:nvSpPr>
        <xdr:spPr>
          <a:xfrm rot="10800000">
            <a:off x="10944870" y="14237607"/>
            <a:ext cx="445679" cy="781922"/>
          </a:xfrm>
          <a:custGeom>
            <a:avLst/>
            <a:gdLst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521281 w 1856332"/>
              <a:gd name="connsiteY2" fmla="*/ 3174669 h 3959924"/>
              <a:gd name="connsiteX3" fmla="*/ 466697 w 1856332"/>
              <a:gd name="connsiteY3" fmla="*/ 3144149 h 3959924"/>
              <a:gd name="connsiteX4" fmla="*/ 8303 w 1856332"/>
              <a:gd name="connsiteY4" fmla="*/ 1942070 h 3959924"/>
              <a:gd name="connsiteX5" fmla="*/ 81139 w 1856332"/>
              <a:gd name="connsiteY5" fmla="*/ 1779444 h 3959924"/>
              <a:gd name="connsiteX6" fmla="*/ 243764 w 1856332"/>
              <a:gd name="connsiteY6" fmla="*/ 1852280 h 3959924"/>
              <a:gd name="connsiteX7" fmla="*/ 504770 w 1856332"/>
              <a:gd name="connsiteY7" fmla="*/ 2536736 h 3959924"/>
              <a:gd name="connsiteX8" fmla="*/ 555637 w 1856332"/>
              <a:gd name="connsiteY8" fmla="*/ 2536736 h 3959924"/>
              <a:gd name="connsiteX9" fmla="*/ 226299 w 1856332"/>
              <a:gd name="connsiteY9" fmla="*/ 1210417 h 3959924"/>
              <a:gd name="connsiteX10" fmla="*/ 551784 w 1856332"/>
              <a:gd name="connsiteY10" fmla="*/ 1210417 h 3959924"/>
              <a:gd name="connsiteX11" fmla="*/ 551784 w 1856332"/>
              <a:gd name="connsiteY11" fmla="*/ 168335 h 3959924"/>
              <a:gd name="connsiteX12" fmla="*/ 720119 w 1856332"/>
              <a:gd name="connsiteY12" fmla="*/ 0 h 3959924"/>
              <a:gd name="connsiteX13" fmla="*/ 888454 w 1856332"/>
              <a:gd name="connsiteY13" fmla="*/ 168335 h 3959924"/>
              <a:gd name="connsiteX14" fmla="*/ 888454 w 1856332"/>
              <a:gd name="connsiteY14" fmla="*/ 1210417 h 3959924"/>
              <a:gd name="connsiteX15" fmla="*/ 968040 w 1856332"/>
              <a:gd name="connsiteY15" fmla="*/ 1210417 h 3959924"/>
              <a:gd name="connsiteX16" fmla="*/ 968040 w 1856332"/>
              <a:gd name="connsiteY16" fmla="*/ 168335 h 3959924"/>
              <a:gd name="connsiteX17" fmla="*/ 1136375 w 1856332"/>
              <a:gd name="connsiteY17" fmla="*/ 0 h 3959924"/>
              <a:gd name="connsiteX18" fmla="*/ 1304710 w 1856332"/>
              <a:gd name="connsiteY18" fmla="*/ 168335 h 3959924"/>
              <a:gd name="connsiteX19" fmla="*/ 1304710 w 1856332"/>
              <a:gd name="connsiteY19" fmla="*/ 1210417 h 3959924"/>
              <a:gd name="connsiteX20" fmla="*/ 1631589 w 1856332"/>
              <a:gd name="connsiteY20" fmla="*/ 1210417 h 3959924"/>
              <a:gd name="connsiteX21" fmla="*/ 1302251 w 1856332"/>
              <a:gd name="connsiteY21" fmla="*/ 2536736 h 3959924"/>
              <a:gd name="connsiteX22" fmla="*/ 1351562 w 1856332"/>
              <a:gd name="connsiteY22" fmla="*/ 2536736 h 3959924"/>
              <a:gd name="connsiteX23" fmla="*/ 1612568 w 1856332"/>
              <a:gd name="connsiteY23" fmla="*/ 1852280 h 3959924"/>
              <a:gd name="connsiteX24" fmla="*/ 1775193 w 1856332"/>
              <a:gd name="connsiteY24" fmla="*/ 1779444 h 3959924"/>
              <a:gd name="connsiteX25" fmla="*/ 1848029 w 1856332"/>
              <a:gd name="connsiteY25" fmla="*/ 1942070 h 3959924"/>
              <a:gd name="connsiteX26" fmla="*/ 1389635 w 1856332"/>
              <a:gd name="connsiteY26" fmla="*/ 3144149 h 3959924"/>
              <a:gd name="connsiteX27" fmla="*/ 1344732 w 1856332"/>
              <a:gd name="connsiteY27" fmla="*/ 3176282 h 3959924"/>
              <a:gd name="connsiteX28" fmla="*/ 1228565 w 1856332"/>
              <a:gd name="connsiteY28" fmla="*/ 3214674 h 3959924"/>
              <a:gd name="connsiteX29" fmla="*/ 925623 w 1856332"/>
              <a:gd name="connsiteY29" fmla="*/ 3959924 h 3959924"/>
              <a:gd name="connsiteX30" fmla="*/ 601623 w 1856332"/>
              <a:gd name="connsiteY30" fmla="*/ 3635924 h 3959924"/>
              <a:gd name="connsiteX31" fmla="*/ 925623 w 1856332"/>
              <a:gd name="connsiteY31" fmla="*/ 3311924 h 3959924"/>
              <a:gd name="connsiteX32" fmla="*/ 1249623 w 1856332"/>
              <a:gd name="connsiteY32" fmla="*/ 3635924 h 3959924"/>
              <a:gd name="connsiteX33" fmla="*/ 925623 w 1856332"/>
              <a:gd name="connsiteY33" fmla="*/ 3959924 h 3959924"/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466697 w 1856332"/>
              <a:gd name="connsiteY2" fmla="*/ 3144149 h 3959924"/>
              <a:gd name="connsiteX3" fmla="*/ 8303 w 1856332"/>
              <a:gd name="connsiteY3" fmla="*/ 1942070 h 3959924"/>
              <a:gd name="connsiteX4" fmla="*/ 81139 w 1856332"/>
              <a:gd name="connsiteY4" fmla="*/ 1779444 h 3959924"/>
              <a:gd name="connsiteX5" fmla="*/ 243764 w 1856332"/>
              <a:gd name="connsiteY5" fmla="*/ 1852280 h 3959924"/>
              <a:gd name="connsiteX6" fmla="*/ 504770 w 1856332"/>
              <a:gd name="connsiteY6" fmla="*/ 2536736 h 3959924"/>
              <a:gd name="connsiteX7" fmla="*/ 555637 w 1856332"/>
              <a:gd name="connsiteY7" fmla="*/ 2536736 h 3959924"/>
              <a:gd name="connsiteX8" fmla="*/ 226299 w 1856332"/>
              <a:gd name="connsiteY8" fmla="*/ 1210417 h 3959924"/>
              <a:gd name="connsiteX9" fmla="*/ 551784 w 1856332"/>
              <a:gd name="connsiteY9" fmla="*/ 1210417 h 3959924"/>
              <a:gd name="connsiteX10" fmla="*/ 551784 w 1856332"/>
              <a:gd name="connsiteY10" fmla="*/ 168335 h 3959924"/>
              <a:gd name="connsiteX11" fmla="*/ 720119 w 1856332"/>
              <a:gd name="connsiteY11" fmla="*/ 0 h 3959924"/>
              <a:gd name="connsiteX12" fmla="*/ 888454 w 1856332"/>
              <a:gd name="connsiteY12" fmla="*/ 168335 h 3959924"/>
              <a:gd name="connsiteX13" fmla="*/ 888454 w 1856332"/>
              <a:gd name="connsiteY13" fmla="*/ 1210417 h 3959924"/>
              <a:gd name="connsiteX14" fmla="*/ 968040 w 1856332"/>
              <a:gd name="connsiteY14" fmla="*/ 1210417 h 3959924"/>
              <a:gd name="connsiteX15" fmla="*/ 968040 w 1856332"/>
              <a:gd name="connsiteY15" fmla="*/ 168335 h 3959924"/>
              <a:gd name="connsiteX16" fmla="*/ 1136375 w 1856332"/>
              <a:gd name="connsiteY16" fmla="*/ 0 h 3959924"/>
              <a:gd name="connsiteX17" fmla="*/ 1304710 w 1856332"/>
              <a:gd name="connsiteY17" fmla="*/ 168335 h 3959924"/>
              <a:gd name="connsiteX18" fmla="*/ 1304710 w 1856332"/>
              <a:gd name="connsiteY18" fmla="*/ 1210417 h 3959924"/>
              <a:gd name="connsiteX19" fmla="*/ 1631589 w 1856332"/>
              <a:gd name="connsiteY19" fmla="*/ 1210417 h 3959924"/>
              <a:gd name="connsiteX20" fmla="*/ 1302251 w 1856332"/>
              <a:gd name="connsiteY20" fmla="*/ 2536736 h 3959924"/>
              <a:gd name="connsiteX21" fmla="*/ 1351562 w 1856332"/>
              <a:gd name="connsiteY21" fmla="*/ 2536736 h 3959924"/>
              <a:gd name="connsiteX22" fmla="*/ 1612568 w 1856332"/>
              <a:gd name="connsiteY22" fmla="*/ 1852280 h 3959924"/>
              <a:gd name="connsiteX23" fmla="*/ 1775193 w 1856332"/>
              <a:gd name="connsiteY23" fmla="*/ 1779444 h 3959924"/>
              <a:gd name="connsiteX24" fmla="*/ 1848029 w 1856332"/>
              <a:gd name="connsiteY24" fmla="*/ 1942070 h 3959924"/>
              <a:gd name="connsiteX25" fmla="*/ 1389635 w 1856332"/>
              <a:gd name="connsiteY25" fmla="*/ 3144149 h 3959924"/>
              <a:gd name="connsiteX26" fmla="*/ 1344732 w 1856332"/>
              <a:gd name="connsiteY26" fmla="*/ 3176282 h 3959924"/>
              <a:gd name="connsiteX27" fmla="*/ 1228565 w 1856332"/>
              <a:gd name="connsiteY27" fmla="*/ 3214674 h 3959924"/>
              <a:gd name="connsiteX28" fmla="*/ 925623 w 1856332"/>
              <a:gd name="connsiteY28" fmla="*/ 3959924 h 3959924"/>
              <a:gd name="connsiteX29" fmla="*/ 601623 w 1856332"/>
              <a:gd name="connsiteY29" fmla="*/ 3635924 h 3959924"/>
              <a:gd name="connsiteX30" fmla="*/ 925623 w 1856332"/>
              <a:gd name="connsiteY30" fmla="*/ 3311924 h 3959924"/>
              <a:gd name="connsiteX31" fmla="*/ 1249623 w 1856332"/>
              <a:gd name="connsiteY31" fmla="*/ 3635924 h 3959924"/>
              <a:gd name="connsiteX32" fmla="*/ 925623 w 1856332"/>
              <a:gd name="connsiteY32" fmla="*/ 3959924 h 3959924"/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466697 w 1856332"/>
              <a:gd name="connsiteY2" fmla="*/ 3144149 h 3959924"/>
              <a:gd name="connsiteX3" fmla="*/ 8303 w 1856332"/>
              <a:gd name="connsiteY3" fmla="*/ 1942070 h 3959924"/>
              <a:gd name="connsiteX4" fmla="*/ 81139 w 1856332"/>
              <a:gd name="connsiteY4" fmla="*/ 1779444 h 3959924"/>
              <a:gd name="connsiteX5" fmla="*/ 243764 w 1856332"/>
              <a:gd name="connsiteY5" fmla="*/ 1852280 h 3959924"/>
              <a:gd name="connsiteX6" fmla="*/ 504770 w 1856332"/>
              <a:gd name="connsiteY6" fmla="*/ 2536736 h 3959924"/>
              <a:gd name="connsiteX7" fmla="*/ 555637 w 1856332"/>
              <a:gd name="connsiteY7" fmla="*/ 2536736 h 3959924"/>
              <a:gd name="connsiteX8" fmla="*/ 226299 w 1856332"/>
              <a:gd name="connsiteY8" fmla="*/ 1210417 h 3959924"/>
              <a:gd name="connsiteX9" fmla="*/ 551784 w 1856332"/>
              <a:gd name="connsiteY9" fmla="*/ 1210417 h 3959924"/>
              <a:gd name="connsiteX10" fmla="*/ 551784 w 1856332"/>
              <a:gd name="connsiteY10" fmla="*/ 168335 h 3959924"/>
              <a:gd name="connsiteX11" fmla="*/ 720119 w 1856332"/>
              <a:gd name="connsiteY11" fmla="*/ 0 h 3959924"/>
              <a:gd name="connsiteX12" fmla="*/ 888454 w 1856332"/>
              <a:gd name="connsiteY12" fmla="*/ 168335 h 3959924"/>
              <a:gd name="connsiteX13" fmla="*/ 888454 w 1856332"/>
              <a:gd name="connsiteY13" fmla="*/ 1210417 h 3959924"/>
              <a:gd name="connsiteX14" fmla="*/ 968040 w 1856332"/>
              <a:gd name="connsiteY14" fmla="*/ 1210417 h 3959924"/>
              <a:gd name="connsiteX15" fmla="*/ 968040 w 1856332"/>
              <a:gd name="connsiteY15" fmla="*/ 168335 h 3959924"/>
              <a:gd name="connsiteX16" fmla="*/ 1136375 w 1856332"/>
              <a:gd name="connsiteY16" fmla="*/ 0 h 3959924"/>
              <a:gd name="connsiteX17" fmla="*/ 1304710 w 1856332"/>
              <a:gd name="connsiteY17" fmla="*/ 168335 h 3959924"/>
              <a:gd name="connsiteX18" fmla="*/ 1304710 w 1856332"/>
              <a:gd name="connsiteY18" fmla="*/ 1210417 h 3959924"/>
              <a:gd name="connsiteX19" fmla="*/ 1631589 w 1856332"/>
              <a:gd name="connsiteY19" fmla="*/ 1210417 h 3959924"/>
              <a:gd name="connsiteX20" fmla="*/ 1302251 w 1856332"/>
              <a:gd name="connsiteY20" fmla="*/ 2536736 h 3959924"/>
              <a:gd name="connsiteX21" fmla="*/ 1351562 w 1856332"/>
              <a:gd name="connsiteY21" fmla="*/ 2536736 h 3959924"/>
              <a:gd name="connsiteX22" fmla="*/ 1612568 w 1856332"/>
              <a:gd name="connsiteY22" fmla="*/ 1852280 h 3959924"/>
              <a:gd name="connsiteX23" fmla="*/ 1775193 w 1856332"/>
              <a:gd name="connsiteY23" fmla="*/ 1779444 h 3959924"/>
              <a:gd name="connsiteX24" fmla="*/ 1848029 w 1856332"/>
              <a:gd name="connsiteY24" fmla="*/ 1942070 h 3959924"/>
              <a:gd name="connsiteX25" fmla="*/ 1389635 w 1856332"/>
              <a:gd name="connsiteY25" fmla="*/ 3144149 h 3959924"/>
              <a:gd name="connsiteX26" fmla="*/ 1344732 w 1856332"/>
              <a:gd name="connsiteY26" fmla="*/ 3176282 h 3959924"/>
              <a:gd name="connsiteX27" fmla="*/ 1228565 w 1856332"/>
              <a:gd name="connsiteY27" fmla="*/ 3214674 h 3959924"/>
              <a:gd name="connsiteX28" fmla="*/ 925623 w 1856332"/>
              <a:gd name="connsiteY28" fmla="*/ 3959924 h 3959924"/>
              <a:gd name="connsiteX29" fmla="*/ 601623 w 1856332"/>
              <a:gd name="connsiteY29" fmla="*/ 3635924 h 3959924"/>
              <a:gd name="connsiteX30" fmla="*/ 925623 w 1856332"/>
              <a:gd name="connsiteY30" fmla="*/ 3311924 h 3959924"/>
              <a:gd name="connsiteX31" fmla="*/ 1249623 w 1856332"/>
              <a:gd name="connsiteY31" fmla="*/ 3635924 h 3959924"/>
              <a:gd name="connsiteX32" fmla="*/ 925623 w 1856332"/>
              <a:gd name="connsiteY32" fmla="*/ 3959924 h 3959924"/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466697 w 1856332"/>
              <a:gd name="connsiteY2" fmla="*/ 3144149 h 3959924"/>
              <a:gd name="connsiteX3" fmla="*/ 8303 w 1856332"/>
              <a:gd name="connsiteY3" fmla="*/ 1942070 h 3959924"/>
              <a:gd name="connsiteX4" fmla="*/ 81139 w 1856332"/>
              <a:gd name="connsiteY4" fmla="*/ 1779444 h 3959924"/>
              <a:gd name="connsiteX5" fmla="*/ 243764 w 1856332"/>
              <a:gd name="connsiteY5" fmla="*/ 1852280 h 3959924"/>
              <a:gd name="connsiteX6" fmla="*/ 504770 w 1856332"/>
              <a:gd name="connsiteY6" fmla="*/ 2536736 h 3959924"/>
              <a:gd name="connsiteX7" fmla="*/ 555637 w 1856332"/>
              <a:gd name="connsiteY7" fmla="*/ 2536736 h 3959924"/>
              <a:gd name="connsiteX8" fmla="*/ 226299 w 1856332"/>
              <a:gd name="connsiteY8" fmla="*/ 1210417 h 3959924"/>
              <a:gd name="connsiteX9" fmla="*/ 551784 w 1856332"/>
              <a:gd name="connsiteY9" fmla="*/ 1210417 h 3959924"/>
              <a:gd name="connsiteX10" fmla="*/ 551784 w 1856332"/>
              <a:gd name="connsiteY10" fmla="*/ 168335 h 3959924"/>
              <a:gd name="connsiteX11" fmla="*/ 720119 w 1856332"/>
              <a:gd name="connsiteY11" fmla="*/ 0 h 3959924"/>
              <a:gd name="connsiteX12" fmla="*/ 888454 w 1856332"/>
              <a:gd name="connsiteY12" fmla="*/ 168335 h 3959924"/>
              <a:gd name="connsiteX13" fmla="*/ 888454 w 1856332"/>
              <a:gd name="connsiteY13" fmla="*/ 1210417 h 3959924"/>
              <a:gd name="connsiteX14" fmla="*/ 968040 w 1856332"/>
              <a:gd name="connsiteY14" fmla="*/ 1210417 h 3959924"/>
              <a:gd name="connsiteX15" fmla="*/ 968040 w 1856332"/>
              <a:gd name="connsiteY15" fmla="*/ 168335 h 3959924"/>
              <a:gd name="connsiteX16" fmla="*/ 1136375 w 1856332"/>
              <a:gd name="connsiteY16" fmla="*/ 0 h 3959924"/>
              <a:gd name="connsiteX17" fmla="*/ 1304710 w 1856332"/>
              <a:gd name="connsiteY17" fmla="*/ 168335 h 3959924"/>
              <a:gd name="connsiteX18" fmla="*/ 1304710 w 1856332"/>
              <a:gd name="connsiteY18" fmla="*/ 1210417 h 3959924"/>
              <a:gd name="connsiteX19" fmla="*/ 1631589 w 1856332"/>
              <a:gd name="connsiteY19" fmla="*/ 1210417 h 3959924"/>
              <a:gd name="connsiteX20" fmla="*/ 1302251 w 1856332"/>
              <a:gd name="connsiteY20" fmla="*/ 2536736 h 3959924"/>
              <a:gd name="connsiteX21" fmla="*/ 1351562 w 1856332"/>
              <a:gd name="connsiteY21" fmla="*/ 2536736 h 3959924"/>
              <a:gd name="connsiteX22" fmla="*/ 1612568 w 1856332"/>
              <a:gd name="connsiteY22" fmla="*/ 1852280 h 3959924"/>
              <a:gd name="connsiteX23" fmla="*/ 1775193 w 1856332"/>
              <a:gd name="connsiteY23" fmla="*/ 1779444 h 3959924"/>
              <a:gd name="connsiteX24" fmla="*/ 1848029 w 1856332"/>
              <a:gd name="connsiteY24" fmla="*/ 1942070 h 3959924"/>
              <a:gd name="connsiteX25" fmla="*/ 1389635 w 1856332"/>
              <a:gd name="connsiteY25" fmla="*/ 3144149 h 3959924"/>
              <a:gd name="connsiteX26" fmla="*/ 1228565 w 1856332"/>
              <a:gd name="connsiteY26" fmla="*/ 3214674 h 3959924"/>
              <a:gd name="connsiteX27" fmla="*/ 925623 w 1856332"/>
              <a:gd name="connsiteY27" fmla="*/ 3959924 h 3959924"/>
              <a:gd name="connsiteX28" fmla="*/ 601623 w 1856332"/>
              <a:gd name="connsiteY28" fmla="*/ 3635924 h 3959924"/>
              <a:gd name="connsiteX29" fmla="*/ 925623 w 1856332"/>
              <a:gd name="connsiteY29" fmla="*/ 3311924 h 3959924"/>
              <a:gd name="connsiteX30" fmla="*/ 1249623 w 1856332"/>
              <a:gd name="connsiteY30" fmla="*/ 3635924 h 3959924"/>
              <a:gd name="connsiteX31" fmla="*/ 925623 w 1856332"/>
              <a:gd name="connsiteY31" fmla="*/ 3959924 h 3959924"/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466697 w 1856332"/>
              <a:gd name="connsiteY2" fmla="*/ 3144149 h 3959924"/>
              <a:gd name="connsiteX3" fmla="*/ 8303 w 1856332"/>
              <a:gd name="connsiteY3" fmla="*/ 1942070 h 3959924"/>
              <a:gd name="connsiteX4" fmla="*/ 81139 w 1856332"/>
              <a:gd name="connsiteY4" fmla="*/ 1779444 h 3959924"/>
              <a:gd name="connsiteX5" fmla="*/ 243764 w 1856332"/>
              <a:gd name="connsiteY5" fmla="*/ 1852280 h 3959924"/>
              <a:gd name="connsiteX6" fmla="*/ 504770 w 1856332"/>
              <a:gd name="connsiteY6" fmla="*/ 2536736 h 3959924"/>
              <a:gd name="connsiteX7" fmla="*/ 555637 w 1856332"/>
              <a:gd name="connsiteY7" fmla="*/ 2536736 h 3959924"/>
              <a:gd name="connsiteX8" fmla="*/ 226299 w 1856332"/>
              <a:gd name="connsiteY8" fmla="*/ 1210417 h 3959924"/>
              <a:gd name="connsiteX9" fmla="*/ 551784 w 1856332"/>
              <a:gd name="connsiteY9" fmla="*/ 1210417 h 3959924"/>
              <a:gd name="connsiteX10" fmla="*/ 551784 w 1856332"/>
              <a:gd name="connsiteY10" fmla="*/ 168335 h 3959924"/>
              <a:gd name="connsiteX11" fmla="*/ 720119 w 1856332"/>
              <a:gd name="connsiteY11" fmla="*/ 0 h 3959924"/>
              <a:gd name="connsiteX12" fmla="*/ 888454 w 1856332"/>
              <a:gd name="connsiteY12" fmla="*/ 168335 h 3959924"/>
              <a:gd name="connsiteX13" fmla="*/ 888454 w 1856332"/>
              <a:gd name="connsiteY13" fmla="*/ 1210417 h 3959924"/>
              <a:gd name="connsiteX14" fmla="*/ 968040 w 1856332"/>
              <a:gd name="connsiteY14" fmla="*/ 1210417 h 3959924"/>
              <a:gd name="connsiteX15" fmla="*/ 968040 w 1856332"/>
              <a:gd name="connsiteY15" fmla="*/ 168335 h 3959924"/>
              <a:gd name="connsiteX16" fmla="*/ 1136375 w 1856332"/>
              <a:gd name="connsiteY16" fmla="*/ 0 h 3959924"/>
              <a:gd name="connsiteX17" fmla="*/ 1304710 w 1856332"/>
              <a:gd name="connsiteY17" fmla="*/ 168335 h 3959924"/>
              <a:gd name="connsiteX18" fmla="*/ 1304710 w 1856332"/>
              <a:gd name="connsiteY18" fmla="*/ 1210417 h 3959924"/>
              <a:gd name="connsiteX19" fmla="*/ 1631589 w 1856332"/>
              <a:gd name="connsiteY19" fmla="*/ 1210417 h 3959924"/>
              <a:gd name="connsiteX20" fmla="*/ 1302251 w 1856332"/>
              <a:gd name="connsiteY20" fmla="*/ 2536736 h 3959924"/>
              <a:gd name="connsiteX21" fmla="*/ 1351562 w 1856332"/>
              <a:gd name="connsiteY21" fmla="*/ 2536736 h 3959924"/>
              <a:gd name="connsiteX22" fmla="*/ 1612568 w 1856332"/>
              <a:gd name="connsiteY22" fmla="*/ 1852280 h 3959924"/>
              <a:gd name="connsiteX23" fmla="*/ 1775193 w 1856332"/>
              <a:gd name="connsiteY23" fmla="*/ 1779444 h 3959924"/>
              <a:gd name="connsiteX24" fmla="*/ 1848029 w 1856332"/>
              <a:gd name="connsiteY24" fmla="*/ 1942070 h 3959924"/>
              <a:gd name="connsiteX25" fmla="*/ 1389635 w 1856332"/>
              <a:gd name="connsiteY25" fmla="*/ 3144149 h 3959924"/>
              <a:gd name="connsiteX26" fmla="*/ 1228565 w 1856332"/>
              <a:gd name="connsiteY26" fmla="*/ 3214674 h 3959924"/>
              <a:gd name="connsiteX27" fmla="*/ 925623 w 1856332"/>
              <a:gd name="connsiteY27" fmla="*/ 3959924 h 3959924"/>
              <a:gd name="connsiteX28" fmla="*/ 601623 w 1856332"/>
              <a:gd name="connsiteY28" fmla="*/ 3635924 h 3959924"/>
              <a:gd name="connsiteX29" fmla="*/ 925623 w 1856332"/>
              <a:gd name="connsiteY29" fmla="*/ 3311924 h 3959924"/>
              <a:gd name="connsiteX30" fmla="*/ 1249623 w 1856332"/>
              <a:gd name="connsiteY30" fmla="*/ 3635924 h 3959924"/>
              <a:gd name="connsiteX31" fmla="*/ 925623 w 1856332"/>
              <a:gd name="connsiteY31" fmla="*/ 3959924 h 3959924"/>
              <a:gd name="connsiteX0" fmla="*/ 1228565 w 1856332"/>
              <a:gd name="connsiteY0" fmla="*/ 3214674 h 3959924"/>
              <a:gd name="connsiteX1" fmla="*/ 622681 w 1856332"/>
              <a:gd name="connsiteY1" fmla="*/ 3214674 h 3959924"/>
              <a:gd name="connsiteX2" fmla="*/ 466697 w 1856332"/>
              <a:gd name="connsiteY2" fmla="*/ 3144149 h 3959924"/>
              <a:gd name="connsiteX3" fmla="*/ 8303 w 1856332"/>
              <a:gd name="connsiteY3" fmla="*/ 1942070 h 3959924"/>
              <a:gd name="connsiteX4" fmla="*/ 81139 w 1856332"/>
              <a:gd name="connsiteY4" fmla="*/ 1779444 h 3959924"/>
              <a:gd name="connsiteX5" fmla="*/ 243764 w 1856332"/>
              <a:gd name="connsiteY5" fmla="*/ 1852280 h 3959924"/>
              <a:gd name="connsiteX6" fmla="*/ 504770 w 1856332"/>
              <a:gd name="connsiteY6" fmla="*/ 2536736 h 3959924"/>
              <a:gd name="connsiteX7" fmla="*/ 555637 w 1856332"/>
              <a:gd name="connsiteY7" fmla="*/ 2536736 h 3959924"/>
              <a:gd name="connsiteX8" fmla="*/ 226299 w 1856332"/>
              <a:gd name="connsiteY8" fmla="*/ 1210417 h 3959924"/>
              <a:gd name="connsiteX9" fmla="*/ 551784 w 1856332"/>
              <a:gd name="connsiteY9" fmla="*/ 1210417 h 3959924"/>
              <a:gd name="connsiteX10" fmla="*/ 551784 w 1856332"/>
              <a:gd name="connsiteY10" fmla="*/ 168335 h 3959924"/>
              <a:gd name="connsiteX11" fmla="*/ 720119 w 1856332"/>
              <a:gd name="connsiteY11" fmla="*/ 0 h 3959924"/>
              <a:gd name="connsiteX12" fmla="*/ 888454 w 1856332"/>
              <a:gd name="connsiteY12" fmla="*/ 168335 h 3959924"/>
              <a:gd name="connsiteX13" fmla="*/ 888454 w 1856332"/>
              <a:gd name="connsiteY13" fmla="*/ 1210417 h 3959924"/>
              <a:gd name="connsiteX14" fmla="*/ 968040 w 1856332"/>
              <a:gd name="connsiteY14" fmla="*/ 1210417 h 3959924"/>
              <a:gd name="connsiteX15" fmla="*/ 968040 w 1856332"/>
              <a:gd name="connsiteY15" fmla="*/ 168335 h 3959924"/>
              <a:gd name="connsiteX16" fmla="*/ 1136375 w 1856332"/>
              <a:gd name="connsiteY16" fmla="*/ 0 h 3959924"/>
              <a:gd name="connsiteX17" fmla="*/ 1304710 w 1856332"/>
              <a:gd name="connsiteY17" fmla="*/ 168335 h 3959924"/>
              <a:gd name="connsiteX18" fmla="*/ 1304710 w 1856332"/>
              <a:gd name="connsiteY18" fmla="*/ 1210417 h 3959924"/>
              <a:gd name="connsiteX19" fmla="*/ 1631589 w 1856332"/>
              <a:gd name="connsiteY19" fmla="*/ 1210417 h 3959924"/>
              <a:gd name="connsiteX20" fmla="*/ 1302251 w 1856332"/>
              <a:gd name="connsiteY20" fmla="*/ 2536736 h 3959924"/>
              <a:gd name="connsiteX21" fmla="*/ 1351562 w 1856332"/>
              <a:gd name="connsiteY21" fmla="*/ 2536736 h 3959924"/>
              <a:gd name="connsiteX22" fmla="*/ 1612568 w 1856332"/>
              <a:gd name="connsiteY22" fmla="*/ 1852280 h 3959924"/>
              <a:gd name="connsiteX23" fmla="*/ 1775193 w 1856332"/>
              <a:gd name="connsiteY23" fmla="*/ 1779444 h 3959924"/>
              <a:gd name="connsiteX24" fmla="*/ 1848029 w 1856332"/>
              <a:gd name="connsiteY24" fmla="*/ 1942070 h 3959924"/>
              <a:gd name="connsiteX25" fmla="*/ 1389635 w 1856332"/>
              <a:gd name="connsiteY25" fmla="*/ 3144149 h 3959924"/>
              <a:gd name="connsiteX26" fmla="*/ 1228565 w 1856332"/>
              <a:gd name="connsiteY26" fmla="*/ 3214674 h 3959924"/>
              <a:gd name="connsiteX27" fmla="*/ 925623 w 1856332"/>
              <a:gd name="connsiteY27" fmla="*/ 3959924 h 3959924"/>
              <a:gd name="connsiteX28" fmla="*/ 601623 w 1856332"/>
              <a:gd name="connsiteY28" fmla="*/ 3635924 h 3959924"/>
              <a:gd name="connsiteX29" fmla="*/ 925623 w 1856332"/>
              <a:gd name="connsiteY29" fmla="*/ 3311924 h 3959924"/>
              <a:gd name="connsiteX30" fmla="*/ 1249623 w 1856332"/>
              <a:gd name="connsiteY30" fmla="*/ 3635924 h 3959924"/>
              <a:gd name="connsiteX31" fmla="*/ 925623 w 1856332"/>
              <a:gd name="connsiteY31" fmla="*/ 3959924 h 39599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1856332" h="3959924">
                <a:moveTo>
                  <a:pt x="1228565" y="3214674"/>
                </a:moveTo>
                <a:lnTo>
                  <a:pt x="622681" y="3214674"/>
                </a:lnTo>
                <a:cubicBezTo>
                  <a:pt x="495703" y="3202920"/>
                  <a:pt x="501057" y="3225622"/>
                  <a:pt x="466697" y="3144149"/>
                </a:cubicBezTo>
                <a:lnTo>
                  <a:pt x="8303" y="1942070"/>
                </a:lnTo>
                <a:cubicBezTo>
                  <a:pt x="-16491" y="1877049"/>
                  <a:pt x="16118" y="1804239"/>
                  <a:pt x="81139" y="1779444"/>
                </a:cubicBezTo>
                <a:cubicBezTo>
                  <a:pt x="146160" y="1754650"/>
                  <a:pt x="218970" y="1787259"/>
                  <a:pt x="243764" y="1852280"/>
                </a:cubicBezTo>
                <a:lnTo>
                  <a:pt x="504770" y="2536736"/>
                </a:lnTo>
                <a:lnTo>
                  <a:pt x="555637" y="2536736"/>
                </a:lnTo>
                <a:lnTo>
                  <a:pt x="226299" y="1210417"/>
                </a:lnTo>
                <a:lnTo>
                  <a:pt x="551784" y="1210417"/>
                </a:lnTo>
                <a:lnTo>
                  <a:pt x="551784" y="168335"/>
                </a:lnTo>
                <a:cubicBezTo>
                  <a:pt x="551784" y="75366"/>
                  <a:pt x="627150" y="0"/>
                  <a:pt x="720119" y="0"/>
                </a:cubicBezTo>
                <a:cubicBezTo>
                  <a:pt x="813088" y="0"/>
                  <a:pt x="888454" y="75366"/>
                  <a:pt x="888454" y="168335"/>
                </a:cubicBezTo>
                <a:lnTo>
                  <a:pt x="888454" y="1210417"/>
                </a:lnTo>
                <a:lnTo>
                  <a:pt x="968040" y="1210417"/>
                </a:lnTo>
                <a:lnTo>
                  <a:pt x="968040" y="168335"/>
                </a:lnTo>
                <a:cubicBezTo>
                  <a:pt x="968040" y="75366"/>
                  <a:pt x="1043406" y="0"/>
                  <a:pt x="1136375" y="0"/>
                </a:cubicBezTo>
                <a:cubicBezTo>
                  <a:pt x="1229344" y="0"/>
                  <a:pt x="1304710" y="75366"/>
                  <a:pt x="1304710" y="168335"/>
                </a:cubicBezTo>
                <a:lnTo>
                  <a:pt x="1304710" y="1210417"/>
                </a:lnTo>
                <a:lnTo>
                  <a:pt x="1631589" y="1210417"/>
                </a:lnTo>
                <a:lnTo>
                  <a:pt x="1302251" y="2536736"/>
                </a:lnTo>
                <a:lnTo>
                  <a:pt x="1351562" y="2536736"/>
                </a:lnTo>
                <a:lnTo>
                  <a:pt x="1612568" y="1852280"/>
                </a:lnTo>
                <a:cubicBezTo>
                  <a:pt x="1637362" y="1787259"/>
                  <a:pt x="1710172" y="1754650"/>
                  <a:pt x="1775193" y="1779444"/>
                </a:cubicBezTo>
                <a:cubicBezTo>
                  <a:pt x="1840214" y="1804239"/>
                  <a:pt x="1872823" y="1877049"/>
                  <a:pt x="1848029" y="1942070"/>
                </a:cubicBezTo>
                <a:lnTo>
                  <a:pt x="1389635" y="3144149"/>
                </a:lnTo>
                <a:cubicBezTo>
                  <a:pt x="1348984" y="3225622"/>
                  <a:pt x="1356391" y="3202920"/>
                  <a:pt x="1228565" y="3214674"/>
                </a:cubicBezTo>
                <a:close/>
                <a:moveTo>
                  <a:pt x="925623" y="3959924"/>
                </a:moveTo>
                <a:cubicBezTo>
                  <a:pt x="746683" y="3959924"/>
                  <a:pt x="601623" y="3814864"/>
                  <a:pt x="601623" y="3635924"/>
                </a:cubicBezTo>
                <a:cubicBezTo>
                  <a:pt x="601623" y="3456984"/>
                  <a:pt x="746683" y="3311924"/>
                  <a:pt x="925623" y="3311924"/>
                </a:cubicBezTo>
                <a:cubicBezTo>
                  <a:pt x="1104563" y="3311924"/>
                  <a:pt x="1249623" y="3456984"/>
                  <a:pt x="1249623" y="3635924"/>
                </a:cubicBezTo>
                <a:cubicBezTo>
                  <a:pt x="1249623" y="3814864"/>
                  <a:pt x="1104563" y="3959924"/>
                  <a:pt x="925623" y="3959924"/>
                </a:cubicBezTo>
                <a:close/>
              </a:path>
            </a:pathLst>
          </a:cu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ko-KR" altLang="en-US" sz="2700"/>
          </a:p>
        </xdr:txBody>
      </xdr:sp>
      <xdr:sp macro="" textlink="เลือกรายเขต!G23">
        <xdr:nvSpPr>
          <xdr:cNvPr id="93" name="กล่องข้อความ 92">
            <a:extLst>
              <a:ext uri="{FF2B5EF4-FFF2-40B4-BE49-F238E27FC236}">
                <a16:creationId xmlns:a16="http://schemas.microsoft.com/office/drawing/2014/main" id="{9281FE12-030B-A247-825C-8A2144A244C8}"/>
              </a:ext>
            </a:extLst>
          </xdr:cNvPr>
          <xdr:cNvSpPr txBox="1"/>
        </xdr:nvSpPr>
        <xdr:spPr>
          <a:xfrm>
            <a:off x="10347668" y="15084274"/>
            <a:ext cx="1602619" cy="730250"/>
          </a:xfrm>
          <a:prstGeom prst="rect">
            <a:avLst/>
          </a:prstGeom>
          <a:solidFill>
            <a:srgbClr val="FF66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10F3CEAD-C0DE-CA47-AF1A-67B1E9918B13}" type="TxLink">
              <a:rPr lang="en-US" sz="3600" b="1" i="0" u="none" strike="noStrike">
                <a:solidFill>
                  <a:schemeClr val="bg1"/>
                </a:solidFill>
                <a:latin typeface="TH SarabunPSK"/>
                <a:cs typeface="TH SarabunPSK"/>
              </a:rPr>
              <a:pPr algn="ctr"/>
              <a:t> 35 </a:t>
            </a:fld>
            <a:endParaRPr lang="th-TH" sz="36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101600</xdr:colOff>
      <xdr:row>58</xdr:row>
      <xdr:rowOff>368300</xdr:rowOff>
    </xdr:from>
    <xdr:to>
      <xdr:col>4</xdr:col>
      <xdr:colOff>533400</xdr:colOff>
      <xdr:row>68</xdr:row>
      <xdr:rowOff>228600</xdr:rowOff>
    </xdr:to>
    <xdr:graphicFrame macro="">
      <xdr:nvGraphicFramePr>
        <xdr:cNvPr id="94" name="Chart 5">
          <a:extLst>
            <a:ext uri="{FF2B5EF4-FFF2-40B4-BE49-F238E27FC236}">
              <a16:creationId xmlns:a16="http://schemas.microsoft.com/office/drawing/2014/main" id="{7995E489-AA11-8E4A-81B1-4B116E946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4" name="Group 3">
          <a:extLst xmlns:a="http://schemas.openxmlformats.org/drawingml/2006/main">
            <a:ext uri="{FF2B5EF4-FFF2-40B4-BE49-F238E27FC236}">
              <a16:creationId xmlns:a16="http://schemas.microsoft.com/office/drawing/2014/main" id="{3327E2D1-B0D3-433F-AB9A-7DC2079734B7}"/>
            </a:ext>
          </a:extLst>
        </cdr:cNvPr>
        <cdr:cNvGrpSpPr/>
      </cdr:nvGrpSpPr>
      <cdr:grpSpPr>
        <a:xfrm xmlns:a="http://schemas.openxmlformats.org/drawingml/2006/main">
          <a:off x="0" y="0"/>
          <a:ext cx="0" cy="0"/>
          <a:chOff x="0" y="0"/>
          <a:chExt cx="0" cy="0"/>
        </a:xfrm>
      </cdr:grpSpPr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3</xdr:row>
      <xdr:rowOff>9525</xdr:rowOff>
    </xdr:from>
    <xdr:to>
      <xdr:col>10</xdr:col>
      <xdr:colOff>38100</xdr:colOff>
      <xdr:row>20</xdr:row>
      <xdr:rowOff>19050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1949FFF6-7DD0-4F40-BB1C-68F93DFB5B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28925" y="647700"/>
              <a:ext cx="6715125" cy="5495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231322</xdr:colOff>
      <xdr:row>3</xdr:row>
      <xdr:rowOff>108628</xdr:rowOff>
    </xdr:from>
    <xdr:to>
      <xdr:col>27</xdr:col>
      <xdr:colOff>489857</xdr:colOff>
      <xdr:row>17</xdr:row>
      <xdr:rowOff>90714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82E6D0-7D8C-4C2F-A681-B528D1BB8B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167822</xdr:colOff>
      <xdr:row>32</xdr:row>
      <xdr:rowOff>14059</xdr:rowOff>
    </xdr:from>
    <xdr:to>
      <xdr:col>34</xdr:col>
      <xdr:colOff>20281</xdr:colOff>
      <xdr:row>44</xdr:row>
      <xdr:rowOff>290283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2C3CD7-5A54-4EE3-8172-6FFD5486EE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340181</xdr:colOff>
      <xdr:row>5</xdr:row>
      <xdr:rowOff>117928</xdr:rowOff>
    </xdr:from>
    <xdr:to>
      <xdr:col>37</xdr:col>
      <xdr:colOff>40822</xdr:colOff>
      <xdr:row>29</xdr:row>
      <xdr:rowOff>40822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F60E8E5-7117-4E31-80E0-F870E1B935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DELL3050/Desktop/&#3600;&#3634;&#3609;&#3586;&#3657;&#3629;&#3617;&#3641;&#3621;&#3612;&#3641;&#3657;&#3626;&#3641;&#3591;&#3629;&#3634;&#3618;&#3640;/&#3607;&#3633;&#3656;&#3623;&#3652;&#3611;/data/43448_577945_&#3605;&#3634;&#3619;&#3634;&#3591;&#3586;&#3657;&#3629;&#3617;&#3641;&#3621;&#3612;&#3641;&#3657;&#3626;&#3641;&#3591;&#3629;&#3634;&#3618;&#3640;&#3616;&#3634;&#3623;&#3632;&#3614;&#3638;&#3656;&#3591;&#3614;&#3636;&#3591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">
          <cell r="B4" t="str">
            <v>เขต</v>
          </cell>
          <cell r="C4" t="str">
            <v>ประเด็นข้อมูล</v>
          </cell>
          <cell r="D4" t="str">
            <v>อายุ 60 - 69 ปี</v>
          </cell>
          <cell r="E4"/>
          <cell r="F4"/>
          <cell r="G4" t="str">
            <v>อายุ 70 - 79 ปี</v>
          </cell>
          <cell r="H4"/>
          <cell r="I4"/>
          <cell r="J4" t="str">
            <v>อายุ 80 ปีขึ้นไป</v>
          </cell>
          <cell r="K4"/>
          <cell r="L4"/>
          <cell r="M4" t="str">
            <v>รวมทั้งหมด</v>
          </cell>
          <cell r="N4"/>
          <cell r="O4"/>
        </row>
        <row r="5">
          <cell r="B5"/>
          <cell r="C5"/>
          <cell r="D5" t="str">
            <v>ชาย</v>
          </cell>
          <cell r="E5" t="str">
            <v>หญิง</v>
          </cell>
          <cell r="F5" t="str">
            <v>รวม</v>
          </cell>
          <cell r="G5" t="str">
            <v>ชาย</v>
          </cell>
          <cell r="H5" t="str">
            <v>หญิง</v>
          </cell>
          <cell r="I5" t="str">
            <v>รวม</v>
          </cell>
          <cell r="J5" t="str">
            <v>ชาย</v>
          </cell>
          <cell r="K5" t="str">
            <v>หญิง</v>
          </cell>
          <cell r="L5" t="str">
            <v>รวม</v>
          </cell>
          <cell r="M5" t="str">
            <v>ชาย</v>
          </cell>
          <cell r="N5" t="str">
            <v>หญิง</v>
          </cell>
          <cell r="O5" t="str">
            <v>รวม</v>
          </cell>
        </row>
        <row r="6">
          <cell r="B6" t="str">
            <v>พระนคร</v>
          </cell>
          <cell r="C6" t="str">
            <v>จำนวนผู้สูงอายุที่อยู่ในภาวะพึ่งพิง</v>
          </cell>
          <cell r="D6">
            <v>15</v>
          </cell>
          <cell r="E6">
            <v>11</v>
          </cell>
          <cell r="F6">
            <v>26</v>
          </cell>
          <cell r="G6">
            <v>10</v>
          </cell>
          <cell r="H6">
            <v>19</v>
          </cell>
          <cell r="I6">
            <v>29</v>
          </cell>
          <cell r="J6">
            <v>18</v>
          </cell>
          <cell r="K6">
            <v>40</v>
          </cell>
          <cell r="L6">
            <v>58</v>
          </cell>
          <cell r="M6">
            <v>43</v>
          </cell>
          <cell r="N6">
            <v>70</v>
          </cell>
          <cell r="O6">
            <v>113</v>
          </cell>
        </row>
        <row r="7">
          <cell r="B7" t="str">
            <v>ดุสิต</v>
          </cell>
          <cell r="C7" t="str">
            <v>จำนวนผู้สูงอายุที่อยู่ในภาวะพึ่งพิง</v>
          </cell>
          <cell r="D7">
            <v>18</v>
          </cell>
          <cell r="E7">
            <v>15</v>
          </cell>
          <cell r="F7">
            <v>33</v>
          </cell>
          <cell r="G7">
            <v>27</v>
          </cell>
          <cell r="H7">
            <v>41</v>
          </cell>
          <cell r="I7">
            <v>68</v>
          </cell>
          <cell r="J7">
            <v>39</v>
          </cell>
          <cell r="K7">
            <v>67</v>
          </cell>
          <cell r="L7">
            <v>106</v>
          </cell>
          <cell r="M7">
            <v>84</v>
          </cell>
          <cell r="N7">
            <v>123</v>
          </cell>
          <cell r="O7">
            <v>207</v>
          </cell>
        </row>
        <row r="8">
          <cell r="B8" t="str">
            <v>หนองจอก</v>
          </cell>
          <cell r="C8" t="str">
            <v>จำนวนผู้สูงอายุที่อยู่ในภาวะพึ่งพิง</v>
          </cell>
          <cell r="D8">
            <v>17</v>
          </cell>
          <cell r="E8">
            <v>23</v>
          </cell>
          <cell r="F8">
            <v>40</v>
          </cell>
          <cell r="G8">
            <v>23</v>
          </cell>
          <cell r="H8">
            <v>28</v>
          </cell>
          <cell r="I8">
            <v>51</v>
          </cell>
          <cell r="J8">
            <v>17</v>
          </cell>
          <cell r="K8">
            <v>83</v>
          </cell>
          <cell r="L8">
            <v>100</v>
          </cell>
          <cell r="M8">
            <v>57</v>
          </cell>
          <cell r="N8">
            <v>134</v>
          </cell>
          <cell r="O8">
            <v>191</v>
          </cell>
        </row>
        <row r="9">
          <cell r="B9" t="str">
            <v>บางรัก</v>
          </cell>
          <cell r="C9" t="str">
            <v>จำนวนผู้สูงอายุที่อยู่ในภาวะพึ่งพิง</v>
          </cell>
          <cell r="D9">
            <v>3</v>
          </cell>
          <cell r="E9">
            <v>6</v>
          </cell>
          <cell r="F9">
            <v>9</v>
          </cell>
          <cell r="G9">
            <v>8</v>
          </cell>
          <cell r="H9">
            <v>13</v>
          </cell>
          <cell r="I9">
            <v>21</v>
          </cell>
          <cell r="J9">
            <v>3</v>
          </cell>
          <cell r="K9">
            <v>23</v>
          </cell>
          <cell r="L9">
            <v>26</v>
          </cell>
          <cell r="M9">
            <v>14</v>
          </cell>
          <cell r="N9">
            <v>42</v>
          </cell>
          <cell r="O9">
            <v>56</v>
          </cell>
        </row>
        <row r="10">
          <cell r="B10" t="str">
            <v>บางเขน</v>
          </cell>
          <cell r="C10" t="str">
            <v>จำนวนผู้สูงอายุที่อยู่ในภาวะพึ่งพิง</v>
          </cell>
          <cell r="D10">
            <v>23</v>
          </cell>
          <cell r="E10">
            <v>21</v>
          </cell>
          <cell r="F10">
            <v>44</v>
          </cell>
          <cell r="G10">
            <v>35</v>
          </cell>
          <cell r="H10">
            <v>30</v>
          </cell>
          <cell r="I10">
            <v>65</v>
          </cell>
          <cell r="J10">
            <v>51</v>
          </cell>
          <cell r="K10">
            <v>78</v>
          </cell>
          <cell r="L10">
            <v>129</v>
          </cell>
          <cell r="M10">
            <v>109</v>
          </cell>
          <cell r="N10">
            <v>129</v>
          </cell>
          <cell r="O10">
            <v>238</v>
          </cell>
        </row>
        <row r="11">
          <cell r="B11" t="str">
            <v>บางกะปิ</v>
          </cell>
          <cell r="C11" t="str">
            <v>จำนวนผู้สูงอายุที่อยู่ในภาวะพึ่งพิง</v>
          </cell>
          <cell r="D11">
            <v>21</v>
          </cell>
          <cell r="E11">
            <v>16</v>
          </cell>
          <cell r="F11">
            <v>37</v>
          </cell>
          <cell r="G11">
            <v>10</v>
          </cell>
          <cell r="H11">
            <v>35</v>
          </cell>
          <cell r="I11">
            <v>45</v>
          </cell>
          <cell r="J11">
            <v>21</v>
          </cell>
          <cell r="K11">
            <v>62</v>
          </cell>
          <cell r="L11">
            <v>83</v>
          </cell>
          <cell r="M11">
            <v>52</v>
          </cell>
          <cell r="N11">
            <v>113</v>
          </cell>
          <cell r="O11">
            <v>165</v>
          </cell>
        </row>
        <row r="12">
          <cell r="B12" t="str">
            <v>ปทุมวัน</v>
          </cell>
          <cell r="C12" t="str">
            <v>จำนวนผู้สูงอายุที่อยู่ในภาวะพึ่งพิง</v>
          </cell>
          <cell r="D12">
            <v>6</v>
          </cell>
          <cell r="E12">
            <v>17</v>
          </cell>
          <cell r="F12">
            <v>23</v>
          </cell>
          <cell r="G12">
            <v>15</v>
          </cell>
          <cell r="H12">
            <v>21</v>
          </cell>
          <cell r="I12">
            <v>36</v>
          </cell>
          <cell r="J12">
            <v>15</v>
          </cell>
          <cell r="K12">
            <v>55</v>
          </cell>
          <cell r="L12">
            <v>70</v>
          </cell>
          <cell r="M12">
            <v>36</v>
          </cell>
          <cell r="N12">
            <v>93</v>
          </cell>
          <cell r="O12">
            <v>129</v>
          </cell>
        </row>
        <row r="13">
          <cell r="B13" t="str">
            <v>ป้อมปราบศัตรูพ่าย</v>
          </cell>
          <cell r="C13" t="str">
            <v>จำนวนผู้สูงอายุที่อยู่ในภาวะพึ่งพิง</v>
          </cell>
          <cell r="D13">
            <v>13</v>
          </cell>
          <cell r="E13">
            <v>7</v>
          </cell>
          <cell r="F13">
            <v>20</v>
          </cell>
          <cell r="G13">
            <v>8</v>
          </cell>
          <cell r="H13">
            <v>21</v>
          </cell>
          <cell r="I13">
            <v>29</v>
          </cell>
          <cell r="J13">
            <v>10</v>
          </cell>
          <cell r="K13">
            <v>48</v>
          </cell>
          <cell r="L13">
            <v>58</v>
          </cell>
          <cell r="M13">
            <v>31</v>
          </cell>
          <cell r="N13">
            <v>76</v>
          </cell>
          <cell r="O13">
            <v>107</v>
          </cell>
        </row>
        <row r="14">
          <cell r="B14" t="str">
            <v>พระโขนง</v>
          </cell>
          <cell r="C14" t="str">
            <v>จำนวนผู้สูงอายุที่อยู่ในภาวะพึ่งพิง</v>
          </cell>
          <cell r="D14">
            <v>20</v>
          </cell>
          <cell r="E14">
            <v>16</v>
          </cell>
          <cell r="F14">
            <v>36</v>
          </cell>
          <cell r="G14">
            <v>36</v>
          </cell>
          <cell r="H14">
            <v>32</v>
          </cell>
          <cell r="I14">
            <v>68</v>
          </cell>
          <cell r="J14">
            <v>37</v>
          </cell>
          <cell r="K14">
            <v>72</v>
          </cell>
          <cell r="L14">
            <v>109</v>
          </cell>
          <cell r="M14">
            <v>93</v>
          </cell>
          <cell r="N14">
            <v>120</v>
          </cell>
          <cell r="O14">
            <v>213</v>
          </cell>
        </row>
        <row r="15">
          <cell r="B15" t="str">
            <v>มีนบุรี</v>
          </cell>
          <cell r="C15" t="str">
            <v>จำนวนผู้สูงอายุที่อยู่ในภาวะพึ่งพิง</v>
          </cell>
          <cell r="D15">
            <v>21</v>
          </cell>
          <cell r="E15">
            <v>20</v>
          </cell>
          <cell r="F15">
            <v>41</v>
          </cell>
          <cell r="G15">
            <v>38</v>
          </cell>
          <cell r="H15">
            <v>46</v>
          </cell>
          <cell r="I15">
            <v>84</v>
          </cell>
          <cell r="J15">
            <v>39</v>
          </cell>
          <cell r="K15">
            <v>64</v>
          </cell>
          <cell r="L15">
            <v>103</v>
          </cell>
          <cell r="M15">
            <v>98</v>
          </cell>
          <cell r="N15">
            <v>130</v>
          </cell>
          <cell r="O15">
            <v>228</v>
          </cell>
        </row>
        <row r="16">
          <cell r="B16" t="str">
            <v>ลาดกระบัง</v>
          </cell>
          <cell r="C16" t="str">
            <v>จำนวนผู้สูงอายุที่อยู่ในภาวะพึ่งพิง</v>
          </cell>
          <cell r="D16">
            <v>53</v>
          </cell>
          <cell r="E16">
            <v>47</v>
          </cell>
          <cell r="F16">
            <v>100</v>
          </cell>
          <cell r="G16">
            <v>48</v>
          </cell>
          <cell r="H16">
            <v>82</v>
          </cell>
          <cell r="I16">
            <v>130</v>
          </cell>
          <cell r="J16">
            <v>53</v>
          </cell>
          <cell r="K16">
            <v>100</v>
          </cell>
          <cell r="L16">
            <v>153</v>
          </cell>
          <cell r="M16">
            <v>154</v>
          </cell>
          <cell r="N16">
            <v>229</v>
          </cell>
          <cell r="O16">
            <v>383</v>
          </cell>
        </row>
        <row r="17">
          <cell r="B17" t="str">
            <v>ยานนาวา</v>
          </cell>
          <cell r="C17" t="str">
            <v>จำนวนผู้สูงอายุที่อยู่ในภาวะพึ่งพิง</v>
          </cell>
          <cell r="D17">
            <v>16</v>
          </cell>
          <cell r="E17">
            <v>15</v>
          </cell>
          <cell r="F17">
            <v>31</v>
          </cell>
          <cell r="G17">
            <v>13</v>
          </cell>
          <cell r="H17">
            <v>32</v>
          </cell>
          <cell r="I17">
            <v>45</v>
          </cell>
          <cell r="J17">
            <v>26</v>
          </cell>
          <cell r="K17">
            <v>41</v>
          </cell>
          <cell r="L17">
            <v>67</v>
          </cell>
          <cell r="M17">
            <v>55</v>
          </cell>
          <cell r="N17">
            <v>88</v>
          </cell>
          <cell r="O17">
            <v>143</v>
          </cell>
        </row>
        <row r="18">
          <cell r="B18" t="str">
            <v>สัมพันธวงศ์</v>
          </cell>
          <cell r="C18" t="str">
            <v>จำนวนผู้สูงอายุที่อยู่ในภาวะพึ่งพิง</v>
          </cell>
          <cell r="D18">
            <v>2</v>
          </cell>
          <cell r="E18">
            <v>1</v>
          </cell>
          <cell r="F18">
            <v>3</v>
          </cell>
          <cell r="G18">
            <v>4</v>
          </cell>
          <cell r="H18">
            <v>9</v>
          </cell>
          <cell r="I18">
            <v>13</v>
          </cell>
          <cell r="J18">
            <v>5</v>
          </cell>
          <cell r="K18">
            <v>25</v>
          </cell>
          <cell r="L18">
            <v>30</v>
          </cell>
          <cell r="M18">
            <v>11</v>
          </cell>
          <cell r="N18">
            <v>35</v>
          </cell>
          <cell r="O18">
            <v>46</v>
          </cell>
        </row>
        <row r="19">
          <cell r="B19" t="str">
            <v>พญาไท</v>
          </cell>
          <cell r="C19" t="str">
            <v>จำนวนผู้สูงอายุที่อยู่ในภาวะพึ่งพิง</v>
          </cell>
          <cell r="D19">
            <v>2</v>
          </cell>
          <cell r="E19">
            <v>3</v>
          </cell>
          <cell r="F19">
            <v>5</v>
          </cell>
          <cell r="G19">
            <v>8</v>
          </cell>
          <cell r="H19">
            <v>9</v>
          </cell>
          <cell r="I19">
            <v>17</v>
          </cell>
          <cell r="J19">
            <v>4</v>
          </cell>
          <cell r="K19">
            <v>40</v>
          </cell>
          <cell r="L19">
            <v>44</v>
          </cell>
          <cell r="M19">
            <v>14</v>
          </cell>
          <cell r="N19">
            <v>52</v>
          </cell>
          <cell r="O19">
            <v>66</v>
          </cell>
        </row>
        <row r="20">
          <cell r="B20" t="str">
            <v>ธนบุรี</v>
          </cell>
          <cell r="C20" t="str">
            <v>จำนวนผู้สูงอายุที่อยู่ในภาวะพึ่งพิง</v>
          </cell>
          <cell r="D20">
            <v>35</v>
          </cell>
          <cell r="E20">
            <v>34</v>
          </cell>
          <cell r="F20">
            <v>69</v>
          </cell>
          <cell r="G20">
            <v>49</v>
          </cell>
          <cell r="H20">
            <v>49</v>
          </cell>
          <cell r="I20">
            <v>98</v>
          </cell>
          <cell r="J20">
            <v>63</v>
          </cell>
          <cell r="K20">
            <v>138</v>
          </cell>
          <cell r="L20">
            <v>201</v>
          </cell>
          <cell r="M20">
            <v>147</v>
          </cell>
          <cell r="N20">
            <v>221</v>
          </cell>
          <cell r="O20">
            <v>368</v>
          </cell>
        </row>
        <row r="21">
          <cell r="B21" t="str">
            <v>บางกอกใหญ่</v>
          </cell>
          <cell r="C21" t="str">
            <v>จำนวนผู้สูงอายุที่อยู่ในภาวะพึ่งพิง</v>
          </cell>
          <cell r="D21">
            <v>26</v>
          </cell>
          <cell r="E21">
            <v>12</v>
          </cell>
          <cell r="F21">
            <v>38</v>
          </cell>
          <cell r="G21">
            <v>23</v>
          </cell>
          <cell r="H21">
            <v>30</v>
          </cell>
          <cell r="I21">
            <v>53</v>
          </cell>
          <cell r="J21">
            <v>19</v>
          </cell>
          <cell r="K21">
            <v>48</v>
          </cell>
          <cell r="L21">
            <v>67</v>
          </cell>
          <cell r="M21">
            <v>68</v>
          </cell>
          <cell r="N21">
            <v>90</v>
          </cell>
          <cell r="O21">
            <v>158</v>
          </cell>
        </row>
        <row r="22">
          <cell r="B22" t="str">
            <v>ห้วยขวาง</v>
          </cell>
          <cell r="C22" t="str">
            <v>จำนวนผู้สูงอายุที่อยู่ในภาวะพึ่งพิง</v>
          </cell>
          <cell r="D22">
            <v>9</v>
          </cell>
          <cell r="E22">
            <v>20</v>
          </cell>
          <cell r="F22">
            <v>29</v>
          </cell>
          <cell r="G22">
            <v>12</v>
          </cell>
          <cell r="H22">
            <v>27</v>
          </cell>
          <cell r="I22">
            <v>39</v>
          </cell>
          <cell r="J22">
            <v>11</v>
          </cell>
          <cell r="K22">
            <v>31</v>
          </cell>
          <cell r="L22">
            <v>42</v>
          </cell>
          <cell r="M22">
            <v>32</v>
          </cell>
          <cell r="N22">
            <v>78</v>
          </cell>
          <cell r="O22">
            <v>110</v>
          </cell>
        </row>
        <row r="23">
          <cell r="B23" t="str">
            <v>คลองสาน</v>
          </cell>
          <cell r="C23" t="str">
            <v>จำนวนผู้สูงอายุที่อยู่ในภาวะพึ่งพิง</v>
          </cell>
          <cell r="D23">
            <v>15</v>
          </cell>
          <cell r="E23">
            <v>11</v>
          </cell>
          <cell r="F23">
            <v>26</v>
          </cell>
          <cell r="G23">
            <v>16</v>
          </cell>
          <cell r="H23">
            <v>14</v>
          </cell>
          <cell r="I23">
            <v>30</v>
          </cell>
          <cell r="J23">
            <v>17</v>
          </cell>
          <cell r="K23">
            <v>34</v>
          </cell>
          <cell r="L23">
            <v>51</v>
          </cell>
          <cell r="M23">
            <v>48</v>
          </cell>
          <cell r="N23">
            <v>59</v>
          </cell>
          <cell r="O23">
            <v>107</v>
          </cell>
        </row>
        <row r="24">
          <cell r="B24" t="str">
            <v>ตลิ่งชัน</v>
          </cell>
          <cell r="C24" t="str">
            <v>จำนวนผู้สูงอายุที่อยู่ในภาวะพึ่งพิง</v>
          </cell>
          <cell r="D24">
            <v>31</v>
          </cell>
          <cell r="E24">
            <v>21</v>
          </cell>
          <cell r="F24">
            <v>52</v>
          </cell>
          <cell r="G24">
            <v>38</v>
          </cell>
          <cell r="H24">
            <v>32</v>
          </cell>
          <cell r="I24">
            <v>70</v>
          </cell>
          <cell r="J24">
            <v>50</v>
          </cell>
          <cell r="K24">
            <v>89</v>
          </cell>
          <cell r="L24">
            <v>139</v>
          </cell>
          <cell r="M24">
            <v>119</v>
          </cell>
          <cell r="N24">
            <v>142</v>
          </cell>
          <cell r="O24">
            <v>261</v>
          </cell>
        </row>
        <row r="25">
          <cell r="B25" t="str">
            <v>บางกอกน้อย</v>
          </cell>
          <cell r="C25" t="str">
            <v>จำนวนผู้สูงอายุที่อยู่ในภาวะพึ่งพิง</v>
          </cell>
          <cell r="D25">
            <v>27</v>
          </cell>
          <cell r="E25">
            <v>45</v>
          </cell>
          <cell r="F25">
            <v>72</v>
          </cell>
          <cell r="G25">
            <v>41</v>
          </cell>
          <cell r="H25">
            <v>55</v>
          </cell>
          <cell r="I25">
            <v>96</v>
          </cell>
          <cell r="J25">
            <v>19</v>
          </cell>
          <cell r="K25">
            <v>61</v>
          </cell>
          <cell r="L25">
            <v>80</v>
          </cell>
          <cell r="M25">
            <v>87</v>
          </cell>
          <cell r="N25">
            <v>161</v>
          </cell>
          <cell r="O25">
            <v>248</v>
          </cell>
        </row>
        <row r="26">
          <cell r="B26" t="str">
            <v>บางขุนเทียน</v>
          </cell>
          <cell r="C26" t="str">
            <v>จำนวนผู้สูงอายุที่อยู่ในภาวะพึ่งพิง</v>
          </cell>
          <cell r="D26">
            <v>8</v>
          </cell>
          <cell r="E26">
            <v>9</v>
          </cell>
          <cell r="F26">
            <v>17</v>
          </cell>
          <cell r="G26">
            <v>13</v>
          </cell>
          <cell r="H26">
            <v>21</v>
          </cell>
          <cell r="I26">
            <v>34</v>
          </cell>
          <cell r="J26">
            <v>5</v>
          </cell>
          <cell r="K26">
            <v>28</v>
          </cell>
          <cell r="L26">
            <v>33</v>
          </cell>
          <cell r="M26">
            <v>26</v>
          </cell>
          <cell r="N26">
            <v>58</v>
          </cell>
          <cell r="O26">
            <v>84</v>
          </cell>
        </row>
        <row r="27">
          <cell r="B27" t="str">
            <v>ภาษีเจริญ</v>
          </cell>
          <cell r="C27" t="str">
            <v>จำนวนผู้สูงอายุที่อยู่ในภาวะพึ่งพิง</v>
          </cell>
          <cell r="D27">
            <v>37</v>
          </cell>
          <cell r="E27">
            <v>27</v>
          </cell>
          <cell r="F27">
            <v>64</v>
          </cell>
          <cell r="G27">
            <v>39</v>
          </cell>
          <cell r="H27">
            <v>82</v>
          </cell>
          <cell r="I27">
            <v>121</v>
          </cell>
          <cell r="J27">
            <v>57</v>
          </cell>
          <cell r="K27">
            <v>104</v>
          </cell>
          <cell r="L27">
            <v>161</v>
          </cell>
          <cell r="M27">
            <v>133</v>
          </cell>
          <cell r="N27">
            <v>213</v>
          </cell>
          <cell r="O27">
            <v>346</v>
          </cell>
        </row>
        <row r="28">
          <cell r="B28" t="str">
            <v>หนองแขม</v>
          </cell>
          <cell r="C28" t="str">
            <v>จำนวนผู้สูงอายุที่อยู่ในภาวะพึ่งพิง</v>
          </cell>
          <cell r="D28">
            <v>9</v>
          </cell>
          <cell r="E28">
            <v>12</v>
          </cell>
          <cell r="F28">
            <v>21</v>
          </cell>
          <cell r="G28">
            <v>21</v>
          </cell>
          <cell r="H28">
            <v>29</v>
          </cell>
          <cell r="I28">
            <v>50</v>
          </cell>
          <cell r="J28">
            <v>10</v>
          </cell>
          <cell r="K28">
            <v>58</v>
          </cell>
          <cell r="L28">
            <v>68</v>
          </cell>
          <cell r="M28">
            <v>40</v>
          </cell>
          <cell r="N28">
            <v>99</v>
          </cell>
          <cell r="O28">
            <v>139</v>
          </cell>
        </row>
        <row r="29">
          <cell r="B29" t="str">
            <v>ราษฎร์บูรณะ</v>
          </cell>
          <cell r="C29" t="str">
            <v>จำนวนผู้สูงอายุที่อยู่ในภาวะพึ่งพิง</v>
          </cell>
          <cell r="D29">
            <v>22</v>
          </cell>
          <cell r="E29">
            <v>24</v>
          </cell>
          <cell r="F29">
            <v>46</v>
          </cell>
          <cell r="G29">
            <v>16</v>
          </cell>
          <cell r="H29">
            <v>43</v>
          </cell>
          <cell r="I29">
            <v>59</v>
          </cell>
          <cell r="J29">
            <v>26</v>
          </cell>
          <cell r="K29">
            <v>41</v>
          </cell>
          <cell r="L29">
            <v>67</v>
          </cell>
          <cell r="M29">
            <v>64</v>
          </cell>
          <cell r="N29">
            <v>108</v>
          </cell>
          <cell r="O29">
            <v>172</v>
          </cell>
        </row>
        <row r="30">
          <cell r="B30" t="str">
            <v>บางพลัด</v>
          </cell>
          <cell r="C30" t="str">
            <v>จำนวนผู้สูงอายุที่อยู่ในภาวะพึ่งพิง</v>
          </cell>
          <cell r="D30">
            <v>17</v>
          </cell>
          <cell r="E30">
            <v>15</v>
          </cell>
          <cell r="F30">
            <v>32</v>
          </cell>
          <cell r="G30">
            <v>16</v>
          </cell>
          <cell r="H30">
            <v>24</v>
          </cell>
          <cell r="I30">
            <v>40</v>
          </cell>
          <cell r="J30">
            <v>39</v>
          </cell>
          <cell r="K30">
            <v>58</v>
          </cell>
          <cell r="L30">
            <v>97</v>
          </cell>
          <cell r="M30">
            <v>72</v>
          </cell>
          <cell r="N30">
            <v>97</v>
          </cell>
          <cell r="O30">
            <v>169</v>
          </cell>
        </row>
        <row r="31">
          <cell r="B31" t="str">
            <v>ดินแดง</v>
          </cell>
          <cell r="C31" t="str">
            <v>จำนวนผู้สูงอายุที่อยู่ในภาวะพึ่งพิง</v>
          </cell>
          <cell r="D31">
            <v>27</v>
          </cell>
          <cell r="E31">
            <v>28</v>
          </cell>
          <cell r="F31">
            <v>55</v>
          </cell>
          <cell r="G31">
            <v>37</v>
          </cell>
          <cell r="H31">
            <v>43</v>
          </cell>
          <cell r="I31">
            <v>80</v>
          </cell>
          <cell r="J31">
            <v>41</v>
          </cell>
          <cell r="K31">
            <v>114</v>
          </cell>
          <cell r="L31">
            <v>155</v>
          </cell>
          <cell r="M31">
            <v>105</v>
          </cell>
          <cell r="N31">
            <v>185</v>
          </cell>
          <cell r="O31">
            <v>290</v>
          </cell>
        </row>
        <row r="32">
          <cell r="B32" t="str">
            <v>บึงกุ่ม</v>
          </cell>
          <cell r="C32" t="str">
            <v>จำนวนผู้สูงอายุที่อยู่ในภาวะพึ่งพิง</v>
          </cell>
          <cell r="D32">
            <v>17</v>
          </cell>
          <cell r="E32">
            <v>19</v>
          </cell>
          <cell r="F32">
            <v>36</v>
          </cell>
          <cell r="G32">
            <v>22</v>
          </cell>
          <cell r="H32">
            <v>34</v>
          </cell>
          <cell r="I32">
            <v>56</v>
          </cell>
          <cell r="J32">
            <v>39</v>
          </cell>
          <cell r="K32">
            <v>77</v>
          </cell>
          <cell r="L32">
            <v>116</v>
          </cell>
          <cell r="M32">
            <v>78</v>
          </cell>
          <cell r="N32">
            <v>130</v>
          </cell>
          <cell r="O32">
            <v>208</v>
          </cell>
        </row>
        <row r="33">
          <cell r="B33" t="str">
            <v>สาทร</v>
          </cell>
          <cell r="C33" t="str">
            <v>จำนวนผู้สูงอายุที่อยู่ในภาวะพึ่งพิง</v>
          </cell>
          <cell r="D33">
            <v>13</v>
          </cell>
          <cell r="E33">
            <v>14</v>
          </cell>
          <cell r="F33">
            <v>27</v>
          </cell>
          <cell r="G33">
            <v>17</v>
          </cell>
          <cell r="H33">
            <v>31</v>
          </cell>
          <cell r="I33">
            <v>48</v>
          </cell>
          <cell r="J33">
            <v>17</v>
          </cell>
          <cell r="K33">
            <v>58</v>
          </cell>
          <cell r="L33">
            <v>75</v>
          </cell>
          <cell r="M33">
            <v>47</v>
          </cell>
          <cell r="N33">
            <v>103</v>
          </cell>
          <cell r="O33">
            <v>150</v>
          </cell>
        </row>
        <row r="34">
          <cell r="B34" t="str">
            <v>บางซื่อ</v>
          </cell>
          <cell r="C34" t="str">
            <v>จำนวนผู้สูงอายุที่อยู่ในภาวะพึ่งพิง</v>
          </cell>
          <cell r="D34">
            <v>39</v>
          </cell>
          <cell r="E34">
            <v>28</v>
          </cell>
          <cell r="F34">
            <v>67</v>
          </cell>
          <cell r="G34">
            <v>32</v>
          </cell>
          <cell r="H34">
            <v>51</v>
          </cell>
          <cell r="I34">
            <v>83</v>
          </cell>
          <cell r="J34">
            <v>59</v>
          </cell>
          <cell r="K34">
            <v>119</v>
          </cell>
          <cell r="L34">
            <v>178</v>
          </cell>
          <cell r="M34">
            <v>130</v>
          </cell>
          <cell r="N34">
            <v>198</v>
          </cell>
          <cell r="O34">
            <v>328</v>
          </cell>
        </row>
        <row r="35">
          <cell r="B35" t="str">
            <v>จตุจักร</v>
          </cell>
          <cell r="C35" t="str">
            <v>จำนวนผู้สูงอายุที่อยู่ในภาวะพึ่งพิง</v>
          </cell>
          <cell r="D35">
            <v>30</v>
          </cell>
          <cell r="E35">
            <v>10</v>
          </cell>
          <cell r="F35">
            <v>40</v>
          </cell>
          <cell r="G35">
            <v>31</v>
          </cell>
          <cell r="H35">
            <v>27</v>
          </cell>
          <cell r="I35">
            <v>58</v>
          </cell>
          <cell r="J35">
            <v>30</v>
          </cell>
          <cell r="K35">
            <v>65</v>
          </cell>
          <cell r="L35">
            <v>95</v>
          </cell>
          <cell r="M35">
            <v>91</v>
          </cell>
          <cell r="N35">
            <v>102</v>
          </cell>
          <cell r="O35">
            <v>193</v>
          </cell>
        </row>
        <row r="36">
          <cell r="B36" t="str">
            <v>บางคอแหลม</v>
          </cell>
          <cell r="C36" t="str">
            <v>จำนวนผู้สูงอายุที่อยู่ในภาวะพึ่งพิง</v>
          </cell>
          <cell r="D36">
            <v>21</v>
          </cell>
          <cell r="E36">
            <v>34</v>
          </cell>
          <cell r="F36">
            <v>55</v>
          </cell>
          <cell r="G36">
            <v>28</v>
          </cell>
          <cell r="H36">
            <v>23</v>
          </cell>
          <cell r="I36">
            <v>51</v>
          </cell>
          <cell r="J36">
            <v>40</v>
          </cell>
          <cell r="K36">
            <v>66</v>
          </cell>
          <cell r="L36">
            <v>106</v>
          </cell>
          <cell r="M36">
            <v>89</v>
          </cell>
          <cell r="N36">
            <v>123</v>
          </cell>
          <cell r="O36">
            <v>212</v>
          </cell>
        </row>
        <row r="37">
          <cell r="B37" t="str">
            <v>ประเวศ</v>
          </cell>
          <cell r="C37" t="str">
            <v>จำนวนผู้สูงอายุที่อยู่ในภาวะพึ่งพิง</v>
          </cell>
          <cell r="D37">
            <v>23</v>
          </cell>
          <cell r="E37">
            <v>31</v>
          </cell>
          <cell r="F37">
            <v>54</v>
          </cell>
          <cell r="G37">
            <v>40</v>
          </cell>
          <cell r="H37">
            <v>59</v>
          </cell>
          <cell r="I37">
            <v>99</v>
          </cell>
          <cell r="J37">
            <v>43</v>
          </cell>
          <cell r="K37">
            <v>75</v>
          </cell>
          <cell r="L37">
            <v>118</v>
          </cell>
          <cell r="M37">
            <v>106</v>
          </cell>
          <cell r="N37">
            <v>165</v>
          </cell>
          <cell r="O37">
            <v>271</v>
          </cell>
        </row>
        <row r="38">
          <cell r="B38" t="str">
            <v>คลองเตย</v>
          </cell>
          <cell r="C38" t="str">
            <v>จำนวนผู้สูงอายุที่อยู่ในภาวะพึ่งพิง</v>
          </cell>
          <cell r="D38">
            <v>21</v>
          </cell>
          <cell r="E38">
            <v>27</v>
          </cell>
          <cell r="F38">
            <v>48</v>
          </cell>
          <cell r="G38">
            <v>25</v>
          </cell>
          <cell r="H38">
            <v>43</v>
          </cell>
          <cell r="I38">
            <v>68</v>
          </cell>
          <cell r="J38">
            <v>22</v>
          </cell>
          <cell r="K38">
            <v>48</v>
          </cell>
          <cell r="L38">
            <v>70</v>
          </cell>
          <cell r="M38">
            <v>68</v>
          </cell>
          <cell r="N38">
            <v>118</v>
          </cell>
          <cell r="O38">
            <v>186</v>
          </cell>
        </row>
        <row r="39">
          <cell r="B39" t="str">
            <v>สวนหลวง</v>
          </cell>
          <cell r="C39" t="str">
            <v>จำนวนผู้สูงอายุที่อยู่ในภาวะพึ่งพิง</v>
          </cell>
          <cell r="D39">
            <v>7</v>
          </cell>
          <cell r="E39">
            <v>12</v>
          </cell>
          <cell r="F39">
            <v>19</v>
          </cell>
          <cell r="G39">
            <v>15</v>
          </cell>
          <cell r="H39">
            <v>17</v>
          </cell>
          <cell r="I39">
            <v>32</v>
          </cell>
          <cell r="J39">
            <v>10</v>
          </cell>
          <cell r="K39">
            <v>36</v>
          </cell>
          <cell r="L39">
            <v>46</v>
          </cell>
          <cell r="M39">
            <v>32</v>
          </cell>
          <cell r="N39">
            <v>65</v>
          </cell>
          <cell r="O39">
            <v>97</v>
          </cell>
        </row>
        <row r="40">
          <cell r="B40" t="str">
            <v>จอมทอง</v>
          </cell>
          <cell r="C40" t="str">
            <v>จำนวนผู้สูงอายุที่อยู่ในภาวะพึ่งพิง</v>
          </cell>
          <cell r="D40">
            <v>16</v>
          </cell>
          <cell r="E40">
            <v>12</v>
          </cell>
          <cell r="F40">
            <v>28</v>
          </cell>
          <cell r="G40">
            <v>26</v>
          </cell>
          <cell r="H40">
            <v>39</v>
          </cell>
          <cell r="I40">
            <v>65</v>
          </cell>
          <cell r="J40">
            <v>20</v>
          </cell>
          <cell r="K40">
            <v>59</v>
          </cell>
          <cell r="L40">
            <v>79</v>
          </cell>
          <cell r="M40">
            <v>62</v>
          </cell>
          <cell r="N40">
            <v>110</v>
          </cell>
          <cell r="O40">
            <v>172</v>
          </cell>
        </row>
        <row r="41">
          <cell r="B41" t="str">
            <v>ดอนเมือง</v>
          </cell>
          <cell r="C41" t="str">
            <v>จำนวนผู้สูงอายุที่อยู่ในภาวะพึ่งพิง</v>
          </cell>
          <cell r="D41">
            <v>29</v>
          </cell>
          <cell r="E41">
            <v>20</v>
          </cell>
          <cell r="F41">
            <v>49</v>
          </cell>
          <cell r="G41">
            <v>20</v>
          </cell>
          <cell r="H41">
            <v>45</v>
          </cell>
          <cell r="I41">
            <v>65</v>
          </cell>
          <cell r="J41">
            <v>23</v>
          </cell>
          <cell r="K41">
            <v>59</v>
          </cell>
          <cell r="L41">
            <v>82</v>
          </cell>
          <cell r="M41">
            <v>72</v>
          </cell>
          <cell r="N41">
            <v>124</v>
          </cell>
          <cell r="O41">
            <v>196</v>
          </cell>
        </row>
        <row r="42">
          <cell r="B42" t="str">
            <v>ราชเทวี</v>
          </cell>
          <cell r="C42" t="str">
            <v>จำนวนผู้สูงอายุที่อยู่ในภาวะพึ่งพิง</v>
          </cell>
          <cell r="D42">
            <v>9</v>
          </cell>
          <cell r="E42">
            <v>4</v>
          </cell>
          <cell r="F42">
            <v>13</v>
          </cell>
          <cell r="G42">
            <v>10</v>
          </cell>
          <cell r="H42">
            <v>13</v>
          </cell>
          <cell r="I42">
            <v>23</v>
          </cell>
          <cell r="J42">
            <v>16</v>
          </cell>
          <cell r="K42">
            <v>41</v>
          </cell>
          <cell r="L42">
            <v>57</v>
          </cell>
          <cell r="M42">
            <v>35</v>
          </cell>
          <cell r="N42">
            <v>58</v>
          </cell>
          <cell r="O42">
            <v>93</v>
          </cell>
        </row>
        <row r="43">
          <cell r="B43" t="str">
            <v>ลาดพร้าว</v>
          </cell>
          <cell r="C43" t="str">
            <v>จำนวนผู้สูงอายุที่อยู่ในภาวะพึ่งพิง</v>
          </cell>
          <cell r="D43">
            <v>9</v>
          </cell>
          <cell r="E43">
            <v>11</v>
          </cell>
          <cell r="F43">
            <v>20</v>
          </cell>
          <cell r="G43">
            <v>23</v>
          </cell>
          <cell r="H43">
            <v>21</v>
          </cell>
          <cell r="I43">
            <v>44</v>
          </cell>
          <cell r="J43">
            <v>22</v>
          </cell>
          <cell r="K43">
            <v>61</v>
          </cell>
          <cell r="L43">
            <v>83</v>
          </cell>
          <cell r="M43">
            <v>54</v>
          </cell>
          <cell r="N43">
            <v>93</v>
          </cell>
          <cell r="O43">
            <v>147</v>
          </cell>
        </row>
        <row r="44">
          <cell r="B44" t="str">
            <v>วัฒนา</v>
          </cell>
          <cell r="C44" t="str">
            <v>จำนวนผู้สูงอายุที่อยู่ในภาวะพึ่งพิง</v>
          </cell>
          <cell r="D44">
            <v>6</v>
          </cell>
          <cell r="E44">
            <v>7</v>
          </cell>
          <cell r="F44">
            <v>13</v>
          </cell>
          <cell r="G44">
            <v>10</v>
          </cell>
          <cell r="H44">
            <v>10</v>
          </cell>
          <cell r="I44">
            <v>20</v>
          </cell>
          <cell r="J44">
            <v>10</v>
          </cell>
          <cell r="K44">
            <v>35</v>
          </cell>
          <cell r="L44">
            <v>45</v>
          </cell>
          <cell r="M44">
            <v>26</v>
          </cell>
          <cell r="N44">
            <v>52</v>
          </cell>
          <cell r="O44">
            <v>78</v>
          </cell>
        </row>
        <row r="45">
          <cell r="B45" t="str">
            <v>บางแค</v>
          </cell>
          <cell r="C45" t="str">
            <v>จำนวนผู้สูงอายุที่อยู่ในภาวะพึ่งพิง</v>
          </cell>
          <cell r="D45">
            <v>25</v>
          </cell>
          <cell r="E45">
            <v>18</v>
          </cell>
          <cell r="F45">
            <v>43</v>
          </cell>
          <cell r="G45">
            <v>33</v>
          </cell>
          <cell r="H45">
            <v>39</v>
          </cell>
          <cell r="I45">
            <v>72</v>
          </cell>
          <cell r="J45">
            <v>42</v>
          </cell>
          <cell r="K45">
            <v>85</v>
          </cell>
          <cell r="L45">
            <v>127</v>
          </cell>
          <cell r="M45">
            <v>100</v>
          </cell>
          <cell r="N45">
            <v>142</v>
          </cell>
          <cell r="O45">
            <v>242</v>
          </cell>
        </row>
        <row r="46">
          <cell r="B46" t="str">
            <v>หลักสี่</v>
          </cell>
          <cell r="C46" t="str">
            <v>จำนวนผู้สูงอายุที่อยู่ในภาวะพึ่งพิง</v>
          </cell>
          <cell r="D46">
            <v>28</v>
          </cell>
          <cell r="E46">
            <v>16</v>
          </cell>
          <cell r="F46">
            <v>44</v>
          </cell>
          <cell r="G46">
            <v>41</v>
          </cell>
          <cell r="H46">
            <v>36</v>
          </cell>
          <cell r="I46">
            <v>77</v>
          </cell>
          <cell r="J46">
            <v>42</v>
          </cell>
          <cell r="K46">
            <v>62</v>
          </cell>
          <cell r="L46">
            <v>104</v>
          </cell>
          <cell r="M46">
            <v>111</v>
          </cell>
          <cell r="N46">
            <v>114</v>
          </cell>
          <cell r="O46">
            <v>225</v>
          </cell>
        </row>
        <row r="47">
          <cell r="B47" t="str">
            <v>สายไหม</v>
          </cell>
          <cell r="C47" t="str">
            <v>จำนวนผู้สูงอายุที่อยู่ในภาวะพึ่งพิง</v>
          </cell>
          <cell r="D47">
            <v>39</v>
          </cell>
          <cell r="E47">
            <v>25</v>
          </cell>
          <cell r="F47">
            <v>64</v>
          </cell>
          <cell r="G47">
            <v>30</v>
          </cell>
          <cell r="H47">
            <v>44</v>
          </cell>
          <cell r="I47">
            <v>74</v>
          </cell>
          <cell r="J47">
            <v>37</v>
          </cell>
          <cell r="K47">
            <v>71</v>
          </cell>
          <cell r="L47">
            <v>108</v>
          </cell>
          <cell r="M47">
            <v>106</v>
          </cell>
          <cell r="N47">
            <v>140</v>
          </cell>
          <cell r="O47">
            <v>246</v>
          </cell>
        </row>
        <row r="48">
          <cell r="B48" t="str">
            <v>คันนายาว</v>
          </cell>
          <cell r="C48" t="str">
            <v>จำนวนผู้สูงอายุที่อยู่ในภาวะพึ่งพิง</v>
          </cell>
          <cell r="D48">
            <v>10</v>
          </cell>
          <cell r="E48">
            <v>25</v>
          </cell>
          <cell r="F48">
            <v>35</v>
          </cell>
          <cell r="G48">
            <v>23</v>
          </cell>
          <cell r="H48">
            <v>28</v>
          </cell>
          <cell r="I48">
            <v>51</v>
          </cell>
          <cell r="J48">
            <v>16</v>
          </cell>
          <cell r="K48">
            <v>36</v>
          </cell>
          <cell r="L48">
            <v>52</v>
          </cell>
          <cell r="M48">
            <v>49</v>
          </cell>
          <cell r="N48">
            <v>89</v>
          </cell>
          <cell r="O48">
            <v>138</v>
          </cell>
        </row>
        <row r="49">
          <cell r="B49" t="str">
            <v>สะพานสูง</v>
          </cell>
          <cell r="C49" t="str">
            <v>จำนวนผู้สูงอายุที่อยู่ในภาวะพึ่งพิง</v>
          </cell>
          <cell r="D49">
            <v>17</v>
          </cell>
          <cell r="E49">
            <v>14</v>
          </cell>
          <cell r="F49">
            <v>31</v>
          </cell>
          <cell r="G49">
            <v>15</v>
          </cell>
          <cell r="H49">
            <v>21</v>
          </cell>
          <cell r="I49">
            <v>36</v>
          </cell>
          <cell r="J49">
            <v>18</v>
          </cell>
          <cell r="K49">
            <v>48</v>
          </cell>
          <cell r="L49">
            <v>66</v>
          </cell>
          <cell r="M49">
            <v>50</v>
          </cell>
          <cell r="N49">
            <v>83</v>
          </cell>
          <cell r="O49">
            <v>133</v>
          </cell>
        </row>
        <row r="50">
          <cell r="B50" t="str">
            <v>วังทองหลาง</v>
          </cell>
          <cell r="C50" t="str">
            <v>จำนวนผู้สูงอายุที่อยู่ในภาวะพึ่งพิง</v>
          </cell>
          <cell r="D50">
            <v>10</v>
          </cell>
          <cell r="E50">
            <v>10</v>
          </cell>
          <cell r="F50">
            <v>20</v>
          </cell>
          <cell r="G50">
            <v>11</v>
          </cell>
          <cell r="H50">
            <v>14</v>
          </cell>
          <cell r="I50">
            <v>25</v>
          </cell>
          <cell r="J50">
            <v>21</v>
          </cell>
          <cell r="K50">
            <v>46</v>
          </cell>
          <cell r="L50">
            <v>67</v>
          </cell>
          <cell r="M50">
            <v>42</v>
          </cell>
          <cell r="N50">
            <v>70</v>
          </cell>
          <cell r="O50">
            <v>112</v>
          </cell>
        </row>
        <row r="51">
          <cell r="B51" t="str">
            <v>คลองสามวา</v>
          </cell>
          <cell r="C51" t="str">
            <v>จำนวนผู้สูงอายุที่อยู่ในภาวะพึ่งพิง</v>
          </cell>
          <cell r="D51">
            <v>12</v>
          </cell>
          <cell r="E51">
            <v>41</v>
          </cell>
          <cell r="F51">
            <v>53</v>
          </cell>
          <cell r="G51">
            <v>39</v>
          </cell>
          <cell r="H51">
            <v>63</v>
          </cell>
          <cell r="I51">
            <v>102</v>
          </cell>
          <cell r="J51">
            <v>23</v>
          </cell>
          <cell r="K51">
            <v>58</v>
          </cell>
          <cell r="L51">
            <v>81</v>
          </cell>
          <cell r="M51">
            <v>74</v>
          </cell>
          <cell r="N51">
            <v>162</v>
          </cell>
          <cell r="O51">
            <v>236</v>
          </cell>
        </row>
        <row r="52">
          <cell r="B52" t="str">
            <v>บางนา</v>
          </cell>
          <cell r="C52" t="str">
            <v>จำนวนผู้สูงอายุที่อยู่ในภาวะพึ่งพิง</v>
          </cell>
          <cell r="D52">
            <v>12</v>
          </cell>
          <cell r="E52">
            <v>10</v>
          </cell>
          <cell r="F52">
            <v>22</v>
          </cell>
          <cell r="G52">
            <v>26</v>
          </cell>
          <cell r="H52">
            <v>27</v>
          </cell>
          <cell r="I52">
            <v>53</v>
          </cell>
          <cell r="J52">
            <v>31</v>
          </cell>
          <cell r="K52">
            <v>69</v>
          </cell>
          <cell r="L52">
            <v>100</v>
          </cell>
          <cell r="M52">
            <v>69</v>
          </cell>
          <cell r="N52">
            <v>106</v>
          </cell>
          <cell r="O52">
            <v>175</v>
          </cell>
        </row>
        <row r="53">
          <cell r="B53" t="str">
            <v>ทวีวัฒนา</v>
          </cell>
          <cell r="C53" t="str">
            <v>จำนวนผู้สูงอายุที่อยู่ในภาวะพึ่งพิง</v>
          </cell>
          <cell r="D53">
            <v>10</v>
          </cell>
          <cell r="E53">
            <v>5</v>
          </cell>
          <cell r="F53">
            <v>15</v>
          </cell>
          <cell r="G53">
            <v>13</v>
          </cell>
          <cell r="H53">
            <v>14</v>
          </cell>
          <cell r="I53">
            <v>27</v>
          </cell>
          <cell r="J53">
            <v>17</v>
          </cell>
          <cell r="K53">
            <v>30</v>
          </cell>
          <cell r="L53">
            <v>47</v>
          </cell>
          <cell r="M53">
            <v>40</v>
          </cell>
          <cell r="N53">
            <v>49</v>
          </cell>
          <cell r="O53">
            <v>89</v>
          </cell>
        </row>
        <row r="54">
          <cell r="B54" t="str">
            <v>ทุ่งครุ</v>
          </cell>
          <cell r="C54" t="str">
            <v>จำนวนผู้สูงอายุที่อยู่ในภาวะพึ่งพิง</v>
          </cell>
          <cell r="D54">
            <v>27</v>
          </cell>
          <cell r="E54">
            <v>22</v>
          </cell>
          <cell r="F54">
            <v>49</v>
          </cell>
          <cell r="G54">
            <v>35</v>
          </cell>
          <cell r="H54">
            <v>43</v>
          </cell>
          <cell r="I54">
            <v>78</v>
          </cell>
          <cell r="J54">
            <v>38</v>
          </cell>
          <cell r="K54">
            <v>76</v>
          </cell>
          <cell r="L54">
            <v>114</v>
          </cell>
          <cell r="M54">
            <v>100</v>
          </cell>
          <cell r="N54">
            <v>141</v>
          </cell>
          <cell r="O54">
            <v>241</v>
          </cell>
        </row>
        <row r="55">
          <cell r="B55" t="str">
            <v>บางบอน</v>
          </cell>
          <cell r="C55" t="str">
            <v>จำนวนผู้สูงอายุที่อยู่ในภาวะพึ่งพิง</v>
          </cell>
          <cell r="D55">
            <v>14</v>
          </cell>
          <cell r="E55">
            <v>17</v>
          </cell>
          <cell r="F55">
            <v>31</v>
          </cell>
          <cell r="G55">
            <v>28</v>
          </cell>
          <cell r="H55">
            <v>22</v>
          </cell>
          <cell r="I55">
            <v>50</v>
          </cell>
          <cell r="J55">
            <v>13</v>
          </cell>
          <cell r="K55">
            <v>39</v>
          </cell>
          <cell r="L55">
            <v>52</v>
          </cell>
          <cell r="M55">
            <v>55</v>
          </cell>
          <cell r="N55">
            <v>78</v>
          </cell>
          <cell r="O55">
            <v>133</v>
          </cell>
        </row>
      </sheetData>
      <sheetData sheetId="1">
        <row r="4">
          <cell r="B4" t="str">
            <v>เขต</v>
          </cell>
          <cell r="C4" t="str">
            <v>ประเด็นข้อมูล</v>
          </cell>
          <cell r="D4" t="str">
            <v>อายุ 60 - 69 ปี</v>
          </cell>
          <cell r="E4"/>
          <cell r="F4"/>
          <cell r="G4" t="str">
            <v>อายุ 70 - 79 ปี</v>
          </cell>
          <cell r="H4"/>
          <cell r="I4"/>
          <cell r="J4" t="str">
            <v>อายุ 80 ปีขึ้นไป</v>
          </cell>
          <cell r="K4"/>
          <cell r="L4"/>
          <cell r="M4" t="str">
            <v>รวมทั้งหมด</v>
          </cell>
          <cell r="N4"/>
          <cell r="O4"/>
        </row>
        <row r="5">
          <cell r="B5"/>
          <cell r="C5"/>
          <cell r="D5" t="str">
            <v>ชาย</v>
          </cell>
          <cell r="E5" t="str">
            <v>หญิง</v>
          </cell>
          <cell r="F5" t="str">
            <v>รวม</v>
          </cell>
          <cell r="G5" t="str">
            <v>ชาย</v>
          </cell>
          <cell r="H5" t="str">
            <v>หญิง</v>
          </cell>
          <cell r="I5" t="str">
            <v>รวม</v>
          </cell>
          <cell r="J5" t="str">
            <v>ชาย</v>
          </cell>
          <cell r="K5" t="str">
            <v>หญิง</v>
          </cell>
          <cell r="L5" t="str">
            <v>รวม</v>
          </cell>
          <cell r="M5" t="str">
            <v>ชาย</v>
          </cell>
          <cell r="N5" t="str">
            <v>หญิง</v>
          </cell>
          <cell r="O5" t="str">
            <v>รวม</v>
          </cell>
        </row>
        <row r="6">
          <cell r="B6" t="str">
            <v>พระนคร</v>
          </cell>
          <cell r="C6" t="str">
            <v>จำนวนผู้สูงอายุที่อยู่ในภาวะพึ่งพิงที่มีผู้ดูแล</v>
          </cell>
          <cell r="D6">
            <v>3</v>
          </cell>
          <cell r="E6">
            <v>2</v>
          </cell>
          <cell r="F6">
            <v>5</v>
          </cell>
          <cell r="G6">
            <v>3</v>
          </cell>
          <cell r="H6">
            <v>1</v>
          </cell>
          <cell r="I6">
            <v>4</v>
          </cell>
          <cell r="J6">
            <v>2</v>
          </cell>
          <cell r="K6">
            <v>10</v>
          </cell>
          <cell r="L6">
            <v>12</v>
          </cell>
          <cell r="M6">
            <v>8</v>
          </cell>
          <cell r="N6">
            <v>13</v>
          </cell>
          <cell r="O6">
            <v>21</v>
          </cell>
        </row>
        <row r="7">
          <cell r="B7" t="str">
            <v>ดุสิต</v>
          </cell>
          <cell r="C7" t="str">
            <v>จำนวนผู้สูงอายุที่อยู่ในภาวะพึ่งพิงที่มีผู้ดูแล</v>
          </cell>
          <cell r="D7">
            <v>6</v>
          </cell>
          <cell r="E7">
            <v>5</v>
          </cell>
          <cell r="F7">
            <v>11</v>
          </cell>
          <cell r="G7">
            <v>5</v>
          </cell>
          <cell r="H7">
            <v>9</v>
          </cell>
          <cell r="I7">
            <v>14</v>
          </cell>
          <cell r="J7">
            <v>7</v>
          </cell>
          <cell r="K7">
            <v>20</v>
          </cell>
          <cell r="L7">
            <v>27</v>
          </cell>
          <cell r="M7">
            <v>18</v>
          </cell>
          <cell r="N7">
            <v>34</v>
          </cell>
          <cell r="O7">
            <v>52</v>
          </cell>
        </row>
        <row r="8">
          <cell r="B8" t="str">
            <v>หนองจอก</v>
          </cell>
          <cell r="C8" t="str">
            <v>จำนวนผู้สูงอายุที่อยู่ในภาวะพึ่งพิงที่มีผู้ดูแล</v>
          </cell>
          <cell r="D8">
            <v>6</v>
          </cell>
          <cell r="E8">
            <v>4</v>
          </cell>
          <cell r="F8">
            <v>10</v>
          </cell>
          <cell r="G8">
            <v>7</v>
          </cell>
          <cell r="H8">
            <v>13</v>
          </cell>
          <cell r="I8">
            <v>20</v>
          </cell>
          <cell r="J8">
            <v>4</v>
          </cell>
          <cell r="K8">
            <v>25</v>
          </cell>
          <cell r="L8">
            <v>29</v>
          </cell>
          <cell r="M8">
            <v>17</v>
          </cell>
          <cell r="N8">
            <v>42</v>
          </cell>
          <cell r="O8">
            <v>59</v>
          </cell>
        </row>
        <row r="9">
          <cell r="B9" t="str">
            <v>บางรัก</v>
          </cell>
          <cell r="C9" t="str">
            <v>จำนวนผู้สูงอายุที่อยู่ในภาวะพึ่งพิงที่มีผู้ดูแล</v>
          </cell>
          <cell r="D9">
            <v>1</v>
          </cell>
          <cell r="E9">
            <v>2</v>
          </cell>
          <cell r="F9">
            <v>3</v>
          </cell>
          <cell r="G9">
            <v>1</v>
          </cell>
          <cell r="H9">
            <v>5</v>
          </cell>
          <cell r="I9">
            <v>6</v>
          </cell>
          <cell r="J9">
            <v>1</v>
          </cell>
          <cell r="K9">
            <v>6</v>
          </cell>
          <cell r="L9">
            <v>7</v>
          </cell>
          <cell r="M9">
            <v>3</v>
          </cell>
          <cell r="N9">
            <v>13</v>
          </cell>
          <cell r="O9">
            <v>16</v>
          </cell>
        </row>
        <row r="10">
          <cell r="B10" t="str">
            <v>บางเขน</v>
          </cell>
          <cell r="C10" t="str">
            <v>จำนวนผู้สูงอายุที่อยู่ในภาวะพึ่งพิงที่มีผู้ดูแล</v>
          </cell>
          <cell r="D10">
            <v>3</v>
          </cell>
          <cell r="E10">
            <v>6</v>
          </cell>
          <cell r="F10">
            <v>9</v>
          </cell>
          <cell r="G10">
            <v>7</v>
          </cell>
          <cell r="H10">
            <v>3</v>
          </cell>
          <cell r="I10">
            <v>10</v>
          </cell>
          <cell r="J10">
            <v>7</v>
          </cell>
          <cell r="K10">
            <v>12</v>
          </cell>
          <cell r="L10">
            <v>19</v>
          </cell>
          <cell r="M10">
            <v>17</v>
          </cell>
          <cell r="N10">
            <v>21</v>
          </cell>
          <cell r="O10">
            <v>38</v>
          </cell>
        </row>
        <row r="11">
          <cell r="B11" t="str">
            <v>บางกะปิ</v>
          </cell>
          <cell r="C11" t="str">
            <v>จำนวนผู้สูงอายุที่อยู่ในภาวะพึ่งพิงที่มีผู้ดูแล</v>
          </cell>
          <cell r="D11">
            <v>2</v>
          </cell>
          <cell r="E11">
            <v>2</v>
          </cell>
          <cell r="F11">
            <v>4</v>
          </cell>
          <cell r="G11">
            <v>1</v>
          </cell>
          <cell r="H11">
            <v>7</v>
          </cell>
          <cell r="I11">
            <v>8</v>
          </cell>
          <cell r="J11">
            <v>5</v>
          </cell>
          <cell r="K11">
            <v>11</v>
          </cell>
          <cell r="L11">
            <v>16</v>
          </cell>
          <cell r="M11">
            <v>8</v>
          </cell>
          <cell r="N11">
            <v>20</v>
          </cell>
          <cell r="O11">
            <v>28</v>
          </cell>
        </row>
        <row r="12">
          <cell r="B12" t="str">
            <v>ปทุมวัน</v>
          </cell>
          <cell r="C12" t="str">
            <v>จำนวนผู้สูงอายุที่อยู่ในภาวะพึ่งพิงที่มีผู้ดูแล</v>
          </cell>
          <cell r="D12">
            <v>2</v>
          </cell>
          <cell r="E12">
            <v>5</v>
          </cell>
          <cell r="F12">
            <v>7</v>
          </cell>
          <cell r="G12">
            <v>5</v>
          </cell>
          <cell r="H12">
            <v>7</v>
          </cell>
          <cell r="I12">
            <v>12</v>
          </cell>
          <cell r="J12">
            <v>5</v>
          </cell>
          <cell r="K12">
            <v>23</v>
          </cell>
          <cell r="L12">
            <v>28</v>
          </cell>
          <cell r="M12">
            <v>12</v>
          </cell>
          <cell r="N12">
            <v>35</v>
          </cell>
          <cell r="O12">
            <v>47</v>
          </cell>
        </row>
        <row r="13">
          <cell r="B13" t="str">
            <v>ป้อมปราบศัตรูพ่าย</v>
          </cell>
          <cell r="C13" t="str">
            <v>จำนวนผู้สูงอายุที่อยู่ในภาวะพึ่งพิงที่มีผู้ดูแล</v>
          </cell>
          <cell r="D13">
            <v>4</v>
          </cell>
          <cell r="E13">
            <v>3</v>
          </cell>
          <cell r="F13">
            <v>7</v>
          </cell>
          <cell r="G13">
            <v>1</v>
          </cell>
          <cell r="H13">
            <v>6</v>
          </cell>
          <cell r="I13">
            <v>7</v>
          </cell>
          <cell r="J13">
            <v>3</v>
          </cell>
          <cell r="K13">
            <v>8</v>
          </cell>
          <cell r="L13">
            <v>11</v>
          </cell>
          <cell r="M13">
            <v>8</v>
          </cell>
          <cell r="N13">
            <v>17</v>
          </cell>
          <cell r="O13">
            <v>25</v>
          </cell>
        </row>
        <row r="14">
          <cell r="B14" t="str">
            <v>พระโขนง</v>
          </cell>
          <cell r="C14" t="str">
            <v>จำนวนผู้สูงอายุที่อยู่ในภาวะพึ่งพิงที่มีผู้ดูแล</v>
          </cell>
          <cell r="D14">
            <v>6</v>
          </cell>
          <cell r="E14">
            <v>4</v>
          </cell>
          <cell r="F14">
            <v>10</v>
          </cell>
          <cell r="G14">
            <v>5</v>
          </cell>
          <cell r="H14">
            <v>9</v>
          </cell>
          <cell r="I14">
            <v>14</v>
          </cell>
          <cell r="J14">
            <v>6</v>
          </cell>
          <cell r="K14">
            <v>14</v>
          </cell>
          <cell r="L14">
            <v>20</v>
          </cell>
          <cell r="M14">
            <v>17</v>
          </cell>
          <cell r="N14">
            <v>27</v>
          </cell>
          <cell r="O14">
            <v>44</v>
          </cell>
        </row>
        <row r="15">
          <cell r="B15" t="str">
            <v>มีนบุรี</v>
          </cell>
          <cell r="C15" t="str">
            <v>จำนวนผู้สูงอายุที่อยู่ในภาวะพึ่งพิงที่มีผู้ดูแล</v>
          </cell>
          <cell r="D15">
            <v>11</v>
          </cell>
          <cell r="E15">
            <v>11</v>
          </cell>
          <cell r="F15">
            <v>22</v>
          </cell>
          <cell r="G15">
            <v>17</v>
          </cell>
          <cell r="H15">
            <v>19</v>
          </cell>
          <cell r="I15">
            <v>36</v>
          </cell>
          <cell r="J15">
            <v>17</v>
          </cell>
          <cell r="K15">
            <v>28</v>
          </cell>
          <cell r="L15">
            <v>45</v>
          </cell>
          <cell r="M15">
            <v>45</v>
          </cell>
          <cell r="N15">
            <v>58</v>
          </cell>
          <cell r="O15">
            <v>103</v>
          </cell>
        </row>
        <row r="16">
          <cell r="B16" t="str">
            <v>ลาดกระบัง</v>
          </cell>
          <cell r="C16" t="str">
            <v>จำนวนผู้สูงอายุที่อยู่ในภาวะพึ่งพิงที่มีผู้ดูแล</v>
          </cell>
          <cell r="D16">
            <v>21</v>
          </cell>
          <cell r="E16">
            <v>27</v>
          </cell>
          <cell r="F16">
            <v>48</v>
          </cell>
          <cell r="G16">
            <v>25</v>
          </cell>
          <cell r="H16">
            <v>45</v>
          </cell>
          <cell r="I16">
            <v>70</v>
          </cell>
          <cell r="J16">
            <v>27</v>
          </cell>
          <cell r="K16">
            <v>51</v>
          </cell>
          <cell r="L16">
            <v>78</v>
          </cell>
          <cell r="M16">
            <v>73</v>
          </cell>
          <cell r="N16">
            <v>123</v>
          </cell>
          <cell r="O16">
            <v>196</v>
          </cell>
        </row>
        <row r="17">
          <cell r="B17" t="str">
            <v>ยานนาวา</v>
          </cell>
          <cell r="C17" t="str">
            <v>จำนวนผู้สูงอายุที่อยู่ในภาวะพึ่งพิงที่มีผู้ดูแล</v>
          </cell>
          <cell r="D17">
            <v>2</v>
          </cell>
          <cell r="E17">
            <v>6</v>
          </cell>
          <cell r="F17">
            <v>8</v>
          </cell>
          <cell r="G17">
            <v>2</v>
          </cell>
          <cell r="H17">
            <v>11</v>
          </cell>
          <cell r="I17">
            <v>13</v>
          </cell>
          <cell r="J17">
            <v>4</v>
          </cell>
          <cell r="K17">
            <v>10</v>
          </cell>
          <cell r="L17">
            <v>14</v>
          </cell>
          <cell r="M17">
            <v>8</v>
          </cell>
          <cell r="N17">
            <v>27</v>
          </cell>
          <cell r="O17">
            <v>35</v>
          </cell>
        </row>
        <row r="18">
          <cell r="B18" t="str">
            <v>สัมพันธวงศ์</v>
          </cell>
          <cell r="C18" t="str">
            <v>จำนวนผู้สูงอายุที่อยู่ในภาวะพึ่งพิงที่มีผู้ดูแล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2</v>
          </cell>
          <cell r="I18">
            <v>3</v>
          </cell>
          <cell r="J18">
            <v>2</v>
          </cell>
          <cell r="K18">
            <v>11</v>
          </cell>
          <cell r="L18">
            <v>13</v>
          </cell>
          <cell r="M18">
            <v>3</v>
          </cell>
          <cell r="N18">
            <v>13</v>
          </cell>
          <cell r="O18">
            <v>16</v>
          </cell>
        </row>
        <row r="19">
          <cell r="B19" t="str">
            <v>พญาไท</v>
          </cell>
          <cell r="C19" t="str">
            <v>จำนวนผู้สูงอายุที่อยู่ในภาวะพึ่งพิงที่มีผู้ดูแล</v>
          </cell>
          <cell r="D19">
            <v>0</v>
          </cell>
          <cell r="E19">
            <v>2</v>
          </cell>
          <cell r="F19">
            <v>2</v>
          </cell>
          <cell r="G19">
            <v>2</v>
          </cell>
          <cell r="H19">
            <v>0</v>
          </cell>
          <cell r="I19">
            <v>2</v>
          </cell>
          <cell r="J19">
            <v>0</v>
          </cell>
          <cell r="K19">
            <v>4</v>
          </cell>
          <cell r="L19">
            <v>4</v>
          </cell>
          <cell r="M19">
            <v>2</v>
          </cell>
          <cell r="N19">
            <v>6</v>
          </cell>
          <cell r="O19">
            <v>8</v>
          </cell>
        </row>
        <row r="20">
          <cell r="B20" t="str">
            <v>ธนบุรี</v>
          </cell>
          <cell r="C20" t="str">
            <v>จำนวนผู้สูงอายุที่อยู่ในภาวะพึ่งพิงที่มีผู้ดูแล</v>
          </cell>
          <cell r="D20">
            <v>15</v>
          </cell>
          <cell r="E20">
            <v>9</v>
          </cell>
          <cell r="F20">
            <v>24</v>
          </cell>
          <cell r="G20">
            <v>19</v>
          </cell>
          <cell r="H20">
            <v>18</v>
          </cell>
          <cell r="I20">
            <v>37</v>
          </cell>
          <cell r="J20">
            <v>23</v>
          </cell>
          <cell r="K20">
            <v>57</v>
          </cell>
          <cell r="L20">
            <v>80</v>
          </cell>
          <cell r="M20">
            <v>57</v>
          </cell>
          <cell r="N20">
            <v>84</v>
          </cell>
          <cell r="O20">
            <v>141</v>
          </cell>
        </row>
        <row r="21">
          <cell r="B21" t="str">
            <v>บางกอกใหญ่</v>
          </cell>
          <cell r="C21" t="str">
            <v>จำนวนผู้สูงอายุที่อยู่ในภาวะพึ่งพิงที่มีผู้ดูแล</v>
          </cell>
          <cell r="D21">
            <v>13</v>
          </cell>
          <cell r="E21">
            <v>7</v>
          </cell>
          <cell r="F21">
            <v>20</v>
          </cell>
          <cell r="G21">
            <v>12</v>
          </cell>
          <cell r="H21">
            <v>11</v>
          </cell>
          <cell r="I21">
            <v>23</v>
          </cell>
          <cell r="J21">
            <v>10</v>
          </cell>
          <cell r="K21">
            <v>17</v>
          </cell>
          <cell r="L21">
            <v>27</v>
          </cell>
          <cell r="M21">
            <v>35</v>
          </cell>
          <cell r="N21">
            <v>35</v>
          </cell>
          <cell r="O21">
            <v>70</v>
          </cell>
        </row>
        <row r="22">
          <cell r="B22" t="str">
            <v>ห้วยขวาง</v>
          </cell>
          <cell r="C22" t="str">
            <v>จำนวนผู้สูงอายุที่อยู่ในภาวะพึ่งพิงที่มีผู้ดูแล</v>
          </cell>
          <cell r="D22">
            <v>4</v>
          </cell>
          <cell r="E22">
            <v>11</v>
          </cell>
          <cell r="F22">
            <v>15</v>
          </cell>
          <cell r="G22">
            <v>1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12</v>
          </cell>
          <cell r="M22">
            <v>8</v>
          </cell>
          <cell r="N22">
            <v>30</v>
          </cell>
          <cell r="O22">
            <v>38</v>
          </cell>
        </row>
        <row r="23">
          <cell r="B23" t="str">
            <v>คลองสาน</v>
          </cell>
          <cell r="C23" t="str">
            <v>จำนวนผู้สูงอายุที่อยู่ในภาวะพึ่งพิงที่มีผู้ดูแล</v>
          </cell>
          <cell r="D23">
            <v>1</v>
          </cell>
          <cell r="E23">
            <v>3</v>
          </cell>
          <cell r="F23">
            <v>4</v>
          </cell>
          <cell r="G23">
            <v>5</v>
          </cell>
          <cell r="H23">
            <v>3</v>
          </cell>
          <cell r="I23">
            <v>8</v>
          </cell>
          <cell r="J23">
            <v>4</v>
          </cell>
          <cell r="K23">
            <v>8</v>
          </cell>
          <cell r="L23">
            <v>12</v>
          </cell>
          <cell r="M23">
            <v>10</v>
          </cell>
          <cell r="N23">
            <v>14</v>
          </cell>
          <cell r="O23">
            <v>24</v>
          </cell>
        </row>
        <row r="24">
          <cell r="B24" t="str">
            <v>ตลิ่งชัน</v>
          </cell>
          <cell r="C24" t="str">
            <v>จำนวนผู้สูงอายุที่อยู่ในภาวะพึ่งพิงที่มีผู้ดูแล</v>
          </cell>
          <cell r="D24">
            <v>0</v>
          </cell>
          <cell r="E24">
            <v>1</v>
          </cell>
          <cell r="F24">
            <v>1</v>
          </cell>
          <cell r="G24">
            <v>2</v>
          </cell>
          <cell r="H24">
            <v>1</v>
          </cell>
          <cell r="I24">
            <v>3</v>
          </cell>
          <cell r="J24">
            <v>0</v>
          </cell>
          <cell r="K24">
            <v>4</v>
          </cell>
          <cell r="L24">
            <v>4</v>
          </cell>
          <cell r="M24">
            <v>2</v>
          </cell>
          <cell r="N24">
            <v>6</v>
          </cell>
          <cell r="O24">
            <v>8</v>
          </cell>
        </row>
        <row r="25">
          <cell r="B25" t="str">
            <v>บางกอกน้อย</v>
          </cell>
          <cell r="C25" t="str">
            <v>จำนวนผู้สูงอายุที่อยู่ในภาวะพึ่งพิงที่มีผู้ดูแล</v>
          </cell>
          <cell r="D25">
            <v>9</v>
          </cell>
          <cell r="E25">
            <v>12</v>
          </cell>
          <cell r="F25">
            <v>21</v>
          </cell>
          <cell r="G25">
            <v>12</v>
          </cell>
          <cell r="H25">
            <v>21</v>
          </cell>
          <cell r="I25">
            <v>33</v>
          </cell>
          <cell r="J25">
            <v>3</v>
          </cell>
          <cell r="K25">
            <v>19</v>
          </cell>
          <cell r="L25">
            <v>22</v>
          </cell>
          <cell r="M25">
            <v>24</v>
          </cell>
          <cell r="N25">
            <v>52</v>
          </cell>
          <cell r="O25">
            <v>76</v>
          </cell>
        </row>
        <row r="26">
          <cell r="B26" t="str">
            <v>บางขุนเทียน</v>
          </cell>
          <cell r="C26" t="str">
            <v>จำนวนผู้สูงอายุที่อยู่ในภาวะพึ่งพิงที่มีผู้ดูแล</v>
          </cell>
          <cell r="D26">
            <v>2</v>
          </cell>
          <cell r="E26">
            <v>2</v>
          </cell>
          <cell r="F26">
            <v>4</v>
          </cell>
          <cell r="G26">
            <v>3</v>
          </cell>
          <cell r="H26">
            <v>1</v>
          </cell>
          <cell r="I26">
            <v>4</v>
          </cell>
          <cell r="J26">
            <v>0</v>
          </cell>
          <cell r="K26">
            <v>5</v>
          </cell>
          <cell r="L26">
            <v>5</v>
          </cell>
          <cell r="M26">
            <v>5</v>
          </cell>
          <cell r="N26">
            <v>8</v>
          </cell>
          <cell r="O26">
            <v>13</v>
          </cell>
        </row>
        <row r="27">
          <cell r="B27" t="str">
            <v>ภาษีเจริญ</v>
          </cell>
          <cell r="C27" t="str">
            <v>จำนวนผู้สูงอายุที่อยู่ในภาวะพึ่งพิงที่มีผู้ดูแล</v>
          </cell>
          <cell r="D27">
            <v>13</v>
          </cell>
          <cell r="E27">
            <v>12</v>
          </cell>
          <cell r="F27">
            <v>25</v>
          </cell>
          <cell r="G27">
            <v>16</v>
          </cell>
          <cell r="H27">
            <v>36</v>
          </cell>
          <cell r="I27">
            <v>52</v>
          </cell>
          <cell r="J27">
            <v>19</v>
          </cell>
          <cell r="K27">
            <v>31</v>
          </cell>
          <cell r="L27">
            <v>50</v>
          </cell>
          <cell r="M27">
            <v>48</v>
          </cell>
          <cell r="N27">
            <v>79</v>
          </cell>
          <cell r="O27">
            <v>127</v>
          </cell>
        </row>
        <row r="28">
          <cell r="B28" t="str">
            <v>หนองแขม</v>
          </cell>
          <cell r="C28" t="str">
            <v>จำนวนผู้สูงอายุที่อยู่ในภาวะพึ่งพิงที่มีผู้ดูแล</v>
          </cell>
          <cell r="D28">
            <v>3</v>
          </cell>
          <cell r="E28">
            <v>3</v>
          </cell>
          <cell r="F28">
            <v>6</v>
          </cell>
          <cell r="G28">
            <v>5</v>
          </cell>
          <cell r="H28">
            <v>5</v>
          </cell>
          <cell r="I28">
            <v>10</v>
          </cell>
          <cell r="J28">
            <v>2</v>
          </cell>
          <cell r="K28">
            <v>9</v>
          </cell>
          <cell r="L28">
            <v>11</v>
          </cell>
          <cell r="M28">
            <v>10</v>
          </cell>
          <cell r="N28">
            <v>17</v>
          </cell>
          <cell r="O28">
            <v>27</v>
          </cell>
        </row>
        <row r="29">
          <cell r="B29" t="str">
            <v>ราษฎร์บูรณะ</v>
          </cell>
          <cell r="C29" t="str">
            <v>จำนวนผู้สูงอายุที่อยู่ในภาวะพึ่งพิงที่มีผู้ดูแล</v>
          </cell>
          <cell r="D29">
            <v>7</v>
          </cell>
          <cell r="E29">
            <v>9</v>
          </cell>
          <cell r="F29">
            <v>16</v>
          </cell>
          <cell r="G29">
            <v>5</v>
          </cell>
          <cell r="H29">
            <v>24</v>
          </cell>
          <cell r="I29">
            <v>29</v>
          </cell>
          <cell r="J29">
            <v>7</v>
          </cell>
          <cell r="K29">
            <v>15</v>
          </cell>
          <cell r="L29">
            <v>22</v>
          </cell>
          <cell r="M29">
            <v>19</v>
          </cell>
          <cell r="N29">
            <v>48</v>
          </cell>
          <cell r="O29">
            <v>67</v>
          </cell>
        </row>
        <row r="30">
          <cell r="B30" t="str">
            <v>บางพลัด</v>
          </cell>
          <cell r="C30" t="str">
            <v>จำนวนผู้สูงอายุที่อยู่ในภาวะพึ่งพิงที่มีผู้ดูแล</v>
          </cell>
          <cell r="D30">
            <v>4</v>
          </cell>
          <cell r="E30">
            <v>6</v>
          </cell>
          <cell r="F30">
            <v>10</v>
          </cell>
          <cell r="G30">
            <v>7</v>
          </cell>
          <cell r="H30">
            <v>13</v>
          </cell>
          <cell r="I30">
            <v>20</v>
          </cell>
          <cell r="J30">
            <v>15</v>
          </cell>
          <cell r="K30">
            <v>25</v>
          </cell>
          <cell r="L30">
            <v>40</v>
          </cell>
          <cell r="M30">
            <v>26</v>
          </cell>
          <cell r="N30">
            <v>44</v>
          </cell>
          <cell r="O30">
            <v>70</v>
          </cell>
        </row>
        <row r="31">
          <cell r="B31" t="str">
            <v>ดินแดง</v>
          </cell>
          <cell r="C31" t="str">
            <v>จำนวนผู้สูงอายุที่อยู่ในภาวะพึ่งพิงที่มีผู้ดูแล</v>
          </cell>
          <cell r="D31">
            <v>6</v>
          </cell>
          <cell r="E31">
            <v>9</v>
          </cell>
          <cell r="F31">
            <v>15</v>
          </cell>
          <cell r="G31">
            <v>12</v>
          </cell>
          <cell r="H31">
            <v>11</v>
          </cell>
          <cell r="I31">
            <v>23</v>
          </cell>
          <cell r="J31">
            <v>12</v>
          </cell>
          <cell r="K31">
            <v>39</v>
          </cell>
          <cell r="L31">
            <v>51</v>
          </cell>
          <cell r="M31">
            <v>30</v>
          </cell>
          <cell r="N31">
            <v>59</v>
          </cell>
          <cell r="O31">
            <v>89</v>
          </cell>
        </row>
        <row r="32">
          <cell r="B32" t="str">
            <v>บึงกุ่ม</v>
          </cell>
          <cell r="C32" t="str">
            <v>จำนวนผู้สูงอายุที่อยู่ในภาวะพึ่งพิงที่มีผู้ดูแล</v>
          </cell>
          <cell r="D32">
            <v>5</v>
          </cell>
          <cell r="E32">
            <v>5</v>
          </cell>
          <cell r="F32">
            <v>10</v>
          </cell>
          <cell r="G32">
            <v>2</v>
          </cell>
          <cell r="H32">
            <v>4</v>
          </cell>
          <cell r="I32">
            <v>6</v>
          </cell>
          <cell r="J32">
            <v>6</v>
          </cell>
          <cell r="K32">
            <v>13</v>
          </cell>
          <cell r="L32">
            <v>19</v>
          </cell>
          <cell r="M32">
            <v>13</v>
          </cell>
          <cell r="N32">
            <v>22</v>
          </cell>
          <cell r="O32">
            <v>35</v>
          </cell>
        </row>
        <row r="33">
          <cell r="B33" t="str">
            <v>สาทร</v>
          </cell>
          <cell r="C33" t="str">
            <v>จำนวนผู้สูงอายุที่อยู่ในภาวะพึ่งพิงที่มีผู้ดูแล</v>
          </cell>
          <cell r="D33">
            <v>5</v>
          </cell>
          <cell r="E33">
            <v>7</v>
          </cell>
          <cell r="F33">
            <v>12</v>
          </cell>
          <cell r="G33">
            <v>6</v>
          </cell>
          <cell r="H33">
            <v>12</v>
          </cell>
          <cell r="I33">
            <v>18</v>
          </cell>
          <cell r="J33">
            <v>2</v>
          </cell>
          <cell r="K33">
            <v>10</v>
          </cell>
          <cell r="L33">
            <v>12</v>
          </cell>
          <cell r="M33">
            <v>13</v>
          </cell>
          <cell r="N33">
            <v>29</v>
          </cell>
          <cell r="O33">
            <v>42</v>
          </cell>
        </row>
        <row r="34">
          <cell r="B34" t="str">
            <v>บางซื่อ</v>
          </cell>
          <cell r="C34" t="str">
            <v>จำนวนผู้สูงอายุที่อยู่ในภาวะพึ่งพิงที่มีผู้ดูแล</v>
          </cell>
          <cell r="D34">
            <v>13</v>
          </cell>
          <cell r="E34">
            <v>14</v>
          </cell>
          <cell r="F34">
            <v>27</v>
          </cell>
          <cell r="G34">
            <v>15</v>
          </cell>
          <cell r="H34">
            <v>19</v>
          </cell>
          <cell r="I34">
            <v>34</v>
          </cell>
          <cell r="J34">
            <v>14</v>
          </cell>
          <cell r="K34">
            <v>34</v>
          </cell>
          <cell r="L34">
            <v>48</v>
          </cell>
          <cell r="M34">
            <v>42</v>
          </cell>
          <cell r="N34">
            <v>67</v>
          </cell>
          <cell r="O34">
            <v>109</v>
          </cell>
        </row>
        <row r="35">
          <cell r="B35" t="str">
            <v>จตุจักร</v>
          </cell>
          <cell r="C35" t="str">
            <v>จำนวนผู้สูงอายุที่อยู่ในภาวะพึ่งพิงที่มีผู้ดูแล</v>
          </cell>
          <cell r="D35">
            <v>4</v>
          </cell>
          <cell r="E35">
            <v>3</v>
          </cell>
          <cell r="F35">
            <v>7</v>
          </cell>
          <cell r="G35">
            <v>9</v>
          </cell>
          <cell r="H35">
            <v>6</v>
          </cell>
          <cell r="I35">
            <v>15</v>
          </cell>
          <cell r="J35">
            <v>4</v>
          </cell>
          <cell r="K35">
            <v>13</v>
          </cell>
          <cell r="L35">
            <v>17</v>
          </cell>
          <cell r="M35">
            <v>17</v>
          </cell>
          <cell r="N35">
            <v>22</v>
          </cell>
          <cell r="O35">
            <v>39</v>
          </cell>
        </row>
        <row r="36">
          <cell r="B36" t="str">
            <v>บางคอแหลม</v>
          </cell>
          <cell r="C36" t="str">
            <v>จำนวนผู้สูงอายุที่อยู่ในภาวะพึ่งพิงที่มีผู้ดูแล</v>
          </cell>
          <cell r="D36">
            <v>7</v>
          </cell>
          <cell r="E36">
            <v>21</v>
          </cell>
          <cell r="F36">
            <v>28</v>
          </cell>
          <cell r="G36">
            <v>18</v>
          </cell>
          <cell r="H36">
            <v>17</v>
          </cell>
          <cell r="I36">
            <v>35</v>
          </cell>
          <cell r="J36">
            <v>17</v>
          </cell>
          <cell r="K36">
            <v>36</v>
          </cell>
          <cell r="L36">
            <v>53</v>
          </cell>
          <cell r="M36">
            <v>42</v>
          </cell>
          <cell r="N36">
            <v>74</v>
          </cell>
          <cell r="O36">
            <v>116</v>
          </cell>
        </row>
        <row r="37">
          <cell r="B37" t="str">
            <v>ประเวศ</v>
          </cell>
          <cell r="C37" t="str">
            <v>จำนวนผู้สูงอายุที่อยู่ในภาวะพึ่งพิงที่มีผู้ดูแล</v>
          </cell>
          <cell r="D37">
            <v>2</v>
          </cell>
          <cell r="E37">
            <v>8</v>
          </cell>
          <cell r="F37">
            <v>10</v>
          </cell>
          <cell r="G37">
            <v>8</v>
          </cell>
          <cell r="H37">
            <v>13</v>
          </cell>
          <cell r="I37">
            <v>21</v>
          </cell>
          <cell r="J37">
            <v>10</v>
          </cell>
          <cell r="K37">
            <v>11</v>
          </cell>
          <cell r="L37">
            <v>21</v>
          </cell>
          <cell r="M37">
            <v>20</v>
          </cell>
          <cell r="N37">
            <v>32</v>
          </cell>
          <cell r="O37">
            <v>52</v>
          </cell>
        </row>
        <row r="38">
          <cell r="B38" t="str">
            <v>คลองเตย</v>
          </cell>
          <cell r="C38" t="str">
            <v>จำนวนผู้สูงอายุที่อยู่ในภาวะพึ่งพิงที่มีผู้ดูแล</v>
          </cell>
          <cell r="D38">
            <v>8</v>
          </cell>
          <cell r="E38">
            <v>11</v>
          </cell>
          <cell r="F38">
            <v>19</v>
          </cell>
          <cell r="G38">
            <v>9</v>
          </cell>
          <cell r="H38">
            <v>20</v>
          </cell>
          <cell r="I38">
            <v>29</v>
          </cell>
          <cell r="J38">
            <v>7</v>
          </cell>
          <cell r="K38">
            <v>13</v>
          </cell>
          <cell r="L38">
            <v>20</v>
          </cell>
          <cell r="M38">
            <v>24</v>
          </cell>
          <cell r="N38">
            <v>44</v>
          </cell>
          <cell r="O38">
            <v>68</v>
          </cell>
        </row>
        <row r="39">
          <cell r="B39" t="str">
            <v>สวนหลวง</v>
          </cell>
          <cell r="C39" t="str">
            <v>จำนวนผู้สูงอายุที่อยู่ในภาวะพึ่งพิงที่มีผู้ดูแล</v>
          </cell>
          <cell r="D39">
            <v>0</v>
          </cell>
          <cell r="E39">
            <v>1</v>
          </cell>
          <cell r="F39">
            <v>1</v>
          </cell>
          <cell r="G39">
            <v>2</v>
          </cell>
          <cell r="H39">
            <v>1</v>
          </cell>
          <cell r="I39">
            <v>3</v>
          </cell>
          <cell r="J39">
            <v>0</v>
          </cell>
          <cell r="K39">
            <v>6</v>
          </cell>
          <cell r="L39">
            <v>6</v>
          </cell>
          <cell r="M39">
            <v>2</v>
          </cell>
          <cell r="N39">
            <v>8</v>
          </cell>
          <cell r="O39">
            <v>10</v>
          </cell>
        </row>
        <row r="40">
          <cell r="B40" t="str">
            <v>จอมทอง</v>
          </cell>
          <cell r="C40" t="str">
            <v>จำนวนผู้สูงอายุที่อยู่ในภาวะพึ่งพิงที่มีผู้ดูแล</v>
          </cell>
          <cell r="D40">
            <v>10</v>
          </cell>
          <cell r="E40">
            <v>8</v>
          </cell>
          <cell r="F40">
            <v>18</v>
          </cell>
          <cell r="G40">
            <v>12</v>
          </cell>
          <cell r="H40">
            <v>20</v>
          </cell>
          <cell r="I40">
            <v>32</v>
          </cell>
          <cell r="J40">
            <v>6</v>
          </cell>
          <cell r="K40">
            <v>28</v>
          </cell>
          <cell r="L40">
            <v>34</v>
          </cell>
          <cell r="M40">
            <v>28</v>
          </cell>
          <cell r="N40">
            <v>56</v>
          </cell>
          <cell r="O40">
            <v>84</v>
          </cell>
        </row>
        <row r="41">
          <cell r="B41" t="str">
            <v>ดอนเมือง</v>
          </cell>
          <cell r="C41" t="str">
            <v>จำนวนผู้สูงอายุที่อยู่ในภาวะพึ่งพิงที่มีผู้ดูแล</v>
          </cell>
          <cell r="D41">
            <v>1</v>
          </cell>
          <cell r="E41">
            <v>1</v>
          </cell>
          <cell r="F41">
            <v>2</v>
          </cell>
          <cell r="G41">
            <v>18</v>
          </cell>
          <cell r="H41">
            <v>6</v>
          </cell>
          <cell r="I41">
            <v>24</v>
          </cell>
          <cell r="J41">
            <v>4</v>
          </cell>
          <cell r="K41">
            <v>5</v>
          </cell>
          <cell r="L41">
            <v>9</v>
          </cell>
          <cell r="M41">
            <v>23</v>
          </cell>
          <cell r="N41">
            <v>12</v>
          </cell>
          <cell r="O41">
            <v>35</v>
          </cell>
        </row>
        <row r="42">
          <cell r="B42" t="str">
            <v>ราชเทวี</v>
          </cell>
          <cell r="C42" t="str">
            <v>จำนวนผู้สูงอายุที่อยู่ในภาวะพึ่งพิงที่มีผู้ดูแล</v>
          </cell>
          <cell r="D42">
            <v>3</v>
          </cell>
          <cell r="E42">
            <v>2</v>
          </cell>
          <cell r="F42">
            <v>5</v>
          </cell>
          <cell r="G42">
            <v>1</v>
          </cell>
          <cell r="H42">
            <v>5</v>
          </cell>
          <cell r="I42">
            <v>6</v>
          </cell>
          <cell r="J42">
            <v>3</v>
          </cell>
          <cell r="K42">
            <v>10</v>
          </cell>
          <cell r="L42">
            <v>13</v>
          </cell>
          <cell r="M42">
            <v>7</v>
          </cell>
          <cell r="N42">
            <v>17</v>
          </cell>
          <cell r="O42">
            <v>24</v>
          </cell>
        </row>
        <row r="43">
          <cell r="B43" t="str">
            <v>ลาดพร้าว</v>
          </cell>
          <cell r="C43" t="str">
            <v>จำนวนผู้สูงอายุที่อยู่ในภาวะพึ่งพิงที่มีผู้ดูแล</v>
          </cell>
          <cell r="D43">
            <v>0</v>
          </cell>
          <cell r="E43">
            <v>0</v>
          </cell>
          <cell r="F43">
            <v>0</v>
          </cell>
          <cell r="G43">
            <v>2</v>
          </cell>
          <cell r="H43">
            <v>1</v>
          </cell>
          <cell r="I43">
            <v>3</v>
          </cell>
          <cell r="J43">
            <v>1</v>
          </cell>
          <cell r="K43">
            <v>5</v>
          </cell>
          <cell r="L43">
            <v>6</v>
          </cell>
          <cell r="M43">
            <v>3</v>
          </cell>
          <cell r="N43">
            <v>6</v>
          </cell>
          <cell r="O43">
            <v>9</v>
          </cell>
        </row>
        <row r="44">
          <cell r="B44" t="str">
            <v>วัฒนา</v>
          </cell>
          <cell r="C44" t="str">
            <v>จำนวนผู้สูงอายุที่อยู่ในภาวะพึ่งพิงที่มีผู้ดูแล</v>
          </cell>
          <cell r="D44">
            <v>3</v>
          </cell>
          <cell r="E44">
            <v>1</v>
          </cell>
          <cell r="F44">
            <v>4</v>
          </cell>
          <cell r="G44">
            <v>4</v>
          </cell>
          <cell r="H44">
            <v>3</v>
          </cell>
          <cell r="I44">
            <v>7</v>
          </cell>
          <cell r="J44">
            <v>1</v>
          </cell>
          <cell r="K44">
            <v>6</v>
          </cell>
          <cell r="L44">
            <v>7</v>
          </cell>
          <cell r="M44">
            <v>8</v>
          </cell>
          <cell r="N44">
            <v>10</v>
          </cell>
          <cell r="O44">
            <v>18</v>
          </cell>
        </row>
        <row r="45">
          <cell r="B45" t="str">
            <v>บางแค</v>
          </cell>
          <cell r="C45" t="str">
            <v>จำนวนผู้สูงอายุที่อยู่ในภาวะพึ่งพิงที่มีผู้ดูแล</v>
          </cell>
          <cell r="D45">
            <v>7</v>
          </cell>
          <cell r="E45">
            <v>9</v>
          </cell>
          <cell r="F45">
            <v>16</v>
          </cell>
          <cell r="G45">
            <v>5</v>
          </cell>
          <cell r="H45">
            <v>26</v>
          </cell>
          <cell r="I45">
            <v>31</v>
          </cell>
          <cell r="J45">
            <v>12</v>
          </cell>
          <cell r="K45">
            <v>48</v>
          </cell>
          <cell r="L45">
            <v>60</v>
          </cell>
          <cell r="M45">
            <v>24</v>
          </cell>
          <cell r="N45">
            <v>83</v>
          </cell>
          <cell r="O45">
            <v>107</v>
          </cell>
        </row>
        <row r="46">
          <cell r="B46" t="str">
            <v>หลักสี่</v>
          </cell>
          <cell r="C46" t="str">
            <v>จำนวนผู้สูงอายุที่อยู่ในภาวะพึ่งพิงที่มีผู้ดูแล</v>
          </cell>
          <cell r="D46">
            <v>3</v>
          </cell>
          <cell r="E46">
            <v>4</v>
          </cell>
          <cell r="F46">
            <v>7</v>
          </cell>
          <cell r="G46">
            <v>7</v>
          </cell>
          <cell r="H46">
            <v>9</v>
          </cell>
          <cell r="I46">
            <v>16</v>
          </cell>
          <cell r="J46">
            <v>4</v>
          </cell>
          <cell r="K46">
            <v>14</v>
          </cell>
          <cell r="L46">
            <v>18</v>
          </cell>
          <cell r="M46">
            <v>14</v>
          </cell>
          <cell r="N46">
            <v>27</v>
          </cell>
          <cell r="O46">
            <v>41</v>
          </cell>
        </row>
        <row r="47">
          <cell r="B47" t="str">
            <v>สายไหม</v>
          </cell>
          <cell r="C47" t="str">
            <v>จำนวนผู้สูงอายุที่อยู่ในภาวะพึ่งพิงที่มีผู้ดูแล</v>
          </cell>
          <cell r="D47">
            <v>13</v>
          </cell>
          <cell r="E47">
            <v>7</v>
          </cell>
          <cell r="F47">
            <v>20</v>
          </cell>
          <cell r="G47">
            <v>8</v>
          </cell>
          <cell r="H47">
            <v>14</v>
          </cell>
          <cell r="I47">
            <v>22</v>
          </cell>
          <cell r="J47">
            <v>12</v>
          </cell>
          <cell r="K47">
            <v>15</v>
          </cell>
          <cell r="L47">
            <v>27</v>
          </cell>
          <cell r="M47">
            <v>33</v>
          </cell>
          <cell r="N47">
            <v>36</v>
          </cell>
          <cell r="O47">
            <v>69</v>
          </cell>
        </row>
        <row r="48">
          <cell r="B48" t="str">
            <v>คันนายาว</v>
          </cell>
          <cell r="C48" t="str">
            <v>จำนวนผู้สูงอายุที่อยู่ในภาวะพึ่งพิงที่มีผู้ดูแล</v>
          </cell>
          <cell r="D48">
            <v>3</v>
          </cell>
          <cell r="E48">
            <v>6</v>
          </cell>
          <cell r="F48">
            <v>9</v>
          </cell>
          <cell r="G48">
            <v>10</v>
          </cell>
          <cell r="H48">
            <v>10</v>
          </cell>
          <cell r="I48">
            <v>20</v>
          </cell>
          <cell r="J48">
            <v>2</v>
          </cell>
          <cell r="K48">
            <v>14</v>
          </cell>
          <cell r="L48">
            <v>16</v>
          </cell>
          <cell r="M48">
            <v>15</v>
          </cell>
          <cell r="N48">
            <v>30</v>
          </cell>
          <cell r="O48">
            <v>45</v>
          </cell>
        </row>
        <row r="49">
          <cell r="B49" t="str">
            <v>สะพานสูง</v>
          </cell>
          <cell r="C49" t="str">
            <v>จำนวนผู้สูงอายุที่อยู่ในภาวะพึ่งพิงที่มีผู้ดูแล</v>
          </cell>
          <cell r="D49">
            <v>4</v>
          </cell>
          <cell r="E49">
            <v>4</v>
          </cell>
          <cell r="F49">
            <v>8</v>
          </cell>
          <cell r="G49">
            <v>3</v>
          </cell>
          <cell r="H49">
            <v>2</v>
          </cell>
          <cell r="I49">
            <v>5</v>
          </cell>
          <cell r="J49">
            <v>4</v>
          </cell>
          <cell r="K49">
            <v>7</v>
          </cell>
          <cell r="L49">
            <v>11</v>
          </cell>
          <cell r="M49">
            <v>11</v>
          </cell>
          <cell r="N49">
            <v>13</v>
          </cell>
          <cell r="O49">
            <v>24</v>
          </cell>
        </row>
        <row r="50">
          <cell r="B50" t="str">
            <v>วังทองหลาง</v>
          </cell>
          <cell r="C50" t="str">
            <v>จำนวนผู้สูงอายุที่อยู่ในภาวะพึ่งพิงที่มีผู้ดูแล</v>
          </cell>
          <cell r="D50">
            <v>3</v>
          </cell>
          <cell r="E50">
            <v>4</v>
          </cell>
          <cell r="F50">
            <v>7</v>
          </cell>
          <cell r="G50">
            <v>3</v>
          </cell>
          <cell r="H50">
            <v>1</v>
          </cell>
          <cell r="I50">
            <v>4</v>
          </cell>
          <cell r="J50">
            <v>2</v>
          </cell>
          <cell r="K50">
            <v>6</v>
          </cell>
          <cell r="L50">
            <v>8</v>
          </cell>
          <cell r="M50">
            <v>8</v>
          </cell>
          <cell r="N50">
            <v>11</v>
          </cell>
          <cell r="O50">
            <v>19</v>
          </cell>
        </row>
        <row r="51">
          <cell r="B51" t="str">
            <v>คลองสามวา</v>
          </cell>
          <cell r="C51" t="str">
            <v>จำนวนผู้สูงอายุที่อยู่ในภาวะพึ่งพิงที่มีผู้ดูแล</v>
          </cell>
          <cell r="D51">
            <v>1</v>
          </cell>
          <cell r="E51">
            <v>26</v>
          </cell>
          <cell r="F51">
            <v>27</v>
          </cell>
          <cell r="G51">
            <v>12</v>
          </cell>
          <cell r="H51">
            <v>28</v>
          </cell>
          <cell r="I51">
            <v>40</v>
          </cell>
          <cell r="J51">
            <v>7</v>
          </cell>
          <cell r="K51">
            <v>19</v>
          </cell>
          <cell r="L51">
            <v>26</v>
          </cell>
          <cell r="M51">
            <v>20</v>
          </cell>
          <cell r="N51">
            <v>73</v>
          </cell>
          <cell r="O51">
            <v>93</v>
          </cell>
        </row>
        <row r="52">
          <cell r="B52" t="str">
            <v>บางนา</v>
          </cell>
          <cell r="C52" t="str">
            <v>จำนวนผู้สูงอายุที่อยู่ในภาวะพึ่งพิงที่มีผู้ดูแล</v>
          </cell>
          <cell r="D52">
            <v>2</v>
          </cell>
          <cell r="E52">
            <v>3</v>
          </cell>
          <cell r="F52">
            <v>5</v>
          </cell>
          <cell r="G52">
            <v>5</v>
          </cell>
          <cell r="H52">
            <v>7</v>
          </cell>
          <cell r="I52">
            <v>12</v>
          </cell>
          <cell r="J52">
            <v>8</v>
          </cell>
          <cell r="K52">
            <v>8</v>
          </cell>
          <cell r="L52">
            <v>16</v>
          </cell>
          <cell r="M52">
            <v>15</v>
          </cell>
          <cell r="N52">
            <v>18</v>
          </cell>
          <cell r="O52">
            <v>33</v>
          </cell>
        </row>
        <row r="53">
          <cell r="B53" t="str">
            <v>ทวีวัฒนา</v>
          </cell>
          <cell r="C53" t="str">
            <v>จำนวนผู้สูงอายุที่อยู่ในภาวะพึ่งพิงที่มีผู้ดูแล</v>
          </cell>
          <cell r="D53">
            <v>4</v>
          </cell>
          <cell r="E53">
            <v>1</v>
          </cell>
          <cell r="F53">
            <v>5</v>
          </cell>
          <cell r="G53">
            <v>3</v>
          </cell>
          <cell r="H53">
            <v>2</v>
          </cell>
          <cell r="I53">
            <v>5</v>
          </cell>
          <cell r="J53">
            <v>2</v>
          </cell>
          <cell r="K53">
            <v>6</v>
          </cell>
          <cell r="L53">
            <v>8</v>
          </cell>
          <cell r="M53">
            <v>9</v>
          </cell>
          <cell r="N53">
            <v>9</v>
          </cell>
          <cell r="O53">
            <v>18</v>
          </cell>
        </row>
        <row r="54">
          <cell r="B54" t="str">
            <v>ทุ่งครุ</v>
          </cell>
          <cell r="C54" t="str">
            <v>จำนวนผู้สูงอายุที่อยู่ในภาวะพึ่งพิงที่มีผู้ดูแล</v>
          </cell>
          <cell r="D54">
            <v>5</v>
          </cell>
          <cell r="E54">
            <v>5</v>
          </cell>
          <cell r="F54">
            <v>10</v>
          </cell>
          <cell r="G54">
            <v>16</v>
          </cell>
          <cell r="H54">
            <v>15</v>
          </cell>
          <cell r="I54">
            <v>31</v>
          </cell>
          <cell r="J54">
            <v>11</v>
          </cell>
          <cell r="K54">
            <v>18</v>
          </cell>
          <cell r="L54">
            <v>29</v>
          </cell>
          <cell r="M54">
            <v>32</v>
          </cell>
          <cell r="N54">
            <v>38</v>
          </cell>
          <cell r="O54">
            <v>70</v>
          </cell>
        </row>
        <row r="55">
          <cell r="B55" t="str">
            <v>บางบอน</v>
          </cell>
          <cell r="C55" t="str">
            <v>จำนวนผู้สูงอายุที่อยู่ในภาวะพึ่งพิงที่มีผู้ดูแล</v>
          </cell>
          <cell r="D55">
            <v>6</v>
          </cell>
          <cell r="E55">
            <v>14</v>
          </cell>
          <cell r="F55">
            <v>20</v>
          </cell>
          <cell r="G55">
            <v>16</v>
          </cell>
          <cell r="H55">
            <v>15</v>
          </cell>
          <cell r="I55">
            <v>31</v>
          </cell>
          <cell r="J55">
            <v>8</v>
          </cell>
          <cell r="K55">
            <v>22</v>
          </cell>
          <cell r="L55">
            <v>30</v>
          </cell>
          <cell r="M55">
            <v>30</v>
          </cell>
          <cell r="N55">
            <v>51</v>
          </cell>
          <cell r="O55">
            <v>81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ELL3050" id="{DB84F887-8F02-4EA8-811C-ED47ACC6B8F3}" userId="DELL3050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1" dT="2019-10-24T03:59:38.33" personId="{DB84F887-8F02-4EA8-811C-ED47ACC6B8F3}" id="{09D85910-9892-4690-BEC7-BA1101157C7C}">
    <text>เมื่อเทียบกับจำนวนผู้สูงอายุทั้งหมด</text>
  </threadedComment>
  <threadedComment ref="H12" dT="2019-10-24T04:01:16.29" personId="{DB84F887-8F02-4EA8-811C-ED47ACC6B8F3}" id="{5439090A-4AC7-414E-A9BB-B8D9C44EF499}">
    <text>เมื่อเทียบกับจำนวนผู้สูงอายุที่รับเบี้ยยังชีพ</text>
  </threadedComment>
  <threadedComment ref="H13" dT="2019-10-24T04:01:20.62" personId="{DB84F887-8F02-4EA8-811C-ED47ACC6B8F3}" id="{A588D2D8-6A7A-43BE-BB19-5EC1CC219FF1}">
    <text>เมื่อเทียบกับจำนวนผู้สูงอายุที่รับเบี้ยยังชีพ</text>
  </threadedComment>
  <threadedComment ref="H14" dT="2019-10-24T04:01:24.71" personId="{DB84F887-8F02-4EA8-811C-ED47ACC6B8F3}" id="{6795B0D4-BABD-4D1B-B179-755E57E7660E}">
    <text>เมื่อเทียบกับจำนวนผู้สูงอายุที่รับเบี้ยยังชีพ</text>
  </threadedComment>
  <threadedComment ref="H15" dT="2019-10-24T03:59:54.96" personId="{DB84F887-8F02-4EA8-811C-ED47ACC6B8F3}" id="{552F7E2C-D83F-4C15-94EC-E27B9C17B8F3}">
    <text>ร้อยละเมื่อเทียบกับจำนวนผู้สูงอายุทั้งหมด</text>
  </threadedComment>
  <threadedComment ref="H16" dT="2019-10-24T04:01:36.80" personId="{DB84F887-8F02-4EA8-811C-ED47ACC6B8F3}" id="{7980D817-593B-4BD8-9B6C-6F91CA070C12}">
    <text>เมื่อเทียบกับจำนวนผู้สูงอายุที่รับเบี้ยความพิการ</text>
  </threadedComment>
  <threadedComment ref="H17" dT="2019-10-24T04:01:40.63" personId="{DB84F887-8F02-4EA8-811C-ED47ACC6B8F3}" id="{A61D9DB9-C656-4990-ABF0-E48385D99BBF}">
    <text>เมื่อเทียบกับจำนวนผู้สูงอายุที่รับเบี้ยความพิการ</text>
  </threadedComment>
  <threadedComment ref="H18" dT="2019-10-24T04:01:45.86" personId="{DB84F887-8F02-4EA8-811C-ED47ACC6B8F3}" id="{234D23A8-25FD-43E3-AAC4-B3E2A1675ECB}">
    <text>เมื่อเทียบกับจำนวนผู้สูงอายุที่รับเบี้ยความพิการ</text>
  </threadedComment>
  <threadedComment ref="H19" dT="2019-10-24T04:00:25.29" personId="{DB84F887-8F02-4EA8-811C-ED47ACC6B8F3}" id="{9A998A81-3338-4127-89E6-CB0DF9143FD5}">
    <text>ร้อยละเมื่อเทียบกับจำนวนผู้สูงอายุทั้งหมด</text>
  </threadedComment>
  <threadedComment ref="H20" dT="2019-10-24T04:01:36.80" personId="{DB84F887-8F02-4EA8-811C-ED47ACC6B8F3}" id="{871A8265-2E5C-AA4F-B0AA-EB39C7393FDE}">
    <text>เมื่อเทียบกับจำนวนผู้สูงอายุที่รับเบี้ยความพิการ</text>
  </threadedComment>
  <threadedComment ref="H21" dT="2019-10-24T04:01:40.63" personId="{DB84F887-8F02-4EA8-811C-ED47ACC6B8F3}" id="{6B9B8961-061D-2A4B-9A0D-3E47C5CE2BEF}">
    <text>เมื่อเทียบกับจำนวนผู้สูงอายุที่รับเบี้ยความพิการ</text>
  </threadedComment>
  <threadedComment ref="H22" dT="2019-10-24T04:01:45.86" personId="{DB84F887-8F02-4EA8-811C-ED47ACC6B8F3}" id="{8DC58DED-41DB-6E4C-91D1-D98DF73016CD}">
    <text>เมื่อเทียบกับจำนวนผู้สูงอายุที่รับเบี้ยความพิการ</text>
  </threadedComment>
  <threadedComment ref="H23" dT="2019-10-24T04:00:42.97" personId="{DB84F887-8F02-4EA8-811C-ED47ACC6B8F3}" id="{795AB43A-1B15-4A95-8972-A5BDD830025D}">
    <text>เมื่อเทียบกับจำนวนผู้สูงอายุที่อยู่ในภาวะพึ่งพิง</text>
  </threadedComment>
  <threadedComment ref="H24" dT="2019-10-24T04:01:36.80" personId="{DB84F887-8F02-4EA8-811C-ED47ACC6B8F3}" id="{3B55C32D-975D-C543-86CC-4E5DFE9994A4}">
    <text>เมื่อเทียบกับจำนวนผู้สูงอายุที่รับเบี้ยความพิการ</text>
  </threadedComment>
  <threadedComment ref="H25" dT="2019-10-24T04:01:40.63" personId="{DB84F887-8F02-4EA8-811C-ED47ACC6B8F3}" id="{86451B8D-4EBE-5246-9C10-B5690895C7E6}">
    <text>เมื่อเทียบกับจำนวนผู้สูงอายุที่รับเบี้ยความพิการ</text>
  </threadedComment>
  <threadedComment ref="H26" dT="2019-10-24T04:01:45.86" personId="{DB84F887-8F02-4EA8-811C-ED47ACC6B8F3}" id="{511FCAED-F41C-2442-92A5-0D934E18BA7D}">
    <text>เมื่อเทียบกับจำนวนผู้สูงอายุที่รับเบี้ยความพิการ</text>
  </threadedComment>
  <threadedComment ref="H31" dT="2019-10-24T03:59:38.33" personId="{DB84F887-8F02-4EA8-811C-ED47ACC6B8F3}" id="{09D85910-9892-4691-BEC7-BA1101157C7C}">
    <text>เมื่อเทียบกับจำนวนผู้สูงอายุทั้งหมด</text>
  </threadedComment>
  <threadedComment ref="H32" dT="2019-10-24T04:01:16.29" personId="{DB84F887-8F02-4EA8-811C-ED47ACC6B8F3}" id="{5439090A-4AC7-414F-A9BB-B8D9C44EF499}">
    <text>เมื่อเทียบกับจำนวนผู้สูงอายุที่รับเบี้ยยังชีพ</text>
  </threadedComment>
  <threadedComment ref="H33" dT="2019-10-24T04:01:20.62" personId="{DB84F887-8F02-4EA8-811C-ED47ACC6B8F3}" id="{A588D2D8-6A7A-43BF-BB19-5EC1CC219FF1}">
    <text>เมื่อเทียบกับจำนวนผู้สูงอายุที่รับเบี้ยยังชีพ</text>
  </threadedComment>
  <threadedComment ref="H34" dT="2019-10-24T04:01:24.71" personId="{DB84F887-8F02-4EA8-811C-ED47ACC6B8F3}" id="{6795B0D4-BABD-4D1C-B179-755E57E7660E}">
    <text>เมื่อเทียบกับจำนวนผู้สูงอายุที่รับเบี้ยยังชีพ</text>
  </threadedComment>
  <threadedComment ref="H36" dT="2019-10-24T03:59:38.33" personId="{DB84F887-8F02-4EA8-811C-ED47ACC6B8F3}" id="{72342B4B-1B1D-2643-84F1-60D6FB6E849A}">
    <text>เมื่อเทียบกับจำนวนผู้สูงอายุทั้งหมด</text>
  </threadedComment>
  <threadedComment ref="H37" dT="2019-10-24T04:01:16.29" personId="{DB84F887-8F02-4EA8-811C-ED47ACC6B8F3}" id="{20B61D27-E904-8649-AB93-AB222CADA33E}">
    <text>เมื่อเทียบกับจำนวนผู้สูงอายุที่รับเบี้ยยังชีพ</text>
  </threadedComment>
  <threadedComment ref="H38" dT="2019-10-24T04:01:20.62" personId="{DB84F887-8F02-4EA8-811C-ED47ACC6B8F3}" id="{820FFD17-001E-F146-966C-4035AE35D32D}">
    <text>เมื่อเทียบกับจำนวนผู้สูงอายุที่รับเบี้ยยังชีพ</text>
  </threadedComment>
  <threadedComment ref="H39" dT="2019-10-24T04:01:24.71" personId="{DB84F887-8F02-4EA8-811C-ED47ACC6B8F3}" id="{365A53E2-9472-884E-BDC6-9815AD4CC541}">
    <text>เมื่อเทียบกับจำนวนผู้สูงอายุที่รับเบี้ยยังชีพ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F659B-72FE-410D-BEC5-6AFCC7174E8E}">
  <dimension ref="A1:BS51"/>
  <sheetViews>
    <sheetView zoomScaleNormal="100" workbookViewId="0">
      <selection activeCell="R10" sqref="R10"/>
    </sheetView>
  </sheetViews>
  <sheetFormatPr defaultColWidth="8.85546875" defaultRowHeight="30.75"/>
  <cols>
    <col min="1" max="1" width="4.5703125" customWidth="1"/>
    <col min="2" max="2" width="15" bestFit="1" customWidth="1"/>
    <col min="5" max="5" width="9" customWidth="1"/>
    <col min="6" max="6" width="36.5703125" customWidth="1"/>
    <col min="7" max="7" width="10.85546875" customWidth="1"/>
    <col min="13" max="13" width="9.140625" style="134"/>
    <col min="14" max="14" width="12.5703125" style="134" customWidth="1"/>
    <col min="15" max="15" width="4.140625" style="134" customWidth="1"/>
    <col min="16" max="16" width="9.140625" style="134"/>
    <col min="71" max="71" width="16.5703125" style="131" customWidth="1"/>
  </cols>
  <sheetData>
    <row r="1" spans="1:71" ht="42" customHeight="1">
      <c r="A1" s="244" t="s">
        <v>427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BS1" s="131" t="s">
        <v>418</v>
      </c>
    </row>
    <row r="2" spans="1:71" ht="11.25" customHeight="1">
      <c r="BS2" s="132" t="s">
        <v>18</v>
      </c>
    </row>
    <row r="3" spans="1:71" s="71" customFormat="1" ht="29.25" customHeight="1">
      <c r="A3" s="242" t="s">
        <v>649</v>
      </c>
      <c r="B3" s="242"/>
      <c r="C3" s="242"/>
      <c r="D3" s="242"/>
      <c r="E3" s="242"/>
      <c r="F3" s="150" t="s">
        <v>18</v>
      </c>
      <c r="M3" s="144"/>
      <c r="N3" s="144"/>
      <c r="O3" s="144"/>
      <c r="P3" s="144"/>
      <c r="BS3" s="145" t="s">
        <v>33</v>
      </c>
    </row>
    <row r="4" spans="1:71" ht="15" customHeight="1">
      <c r="A4" s="142"/>
      <c r="B4" s="142"/>
      <c r="C4" s="142"/>
      <c r="D4" s="142"/>
      <c r="E4" s="142"/>
      <c r="F4" s="143"/>
      <c r="BS4" s="145" t="s">
        <v>34</v>
      </c>
    </row>
    <row r="5" spans="1:71" s="71" customFormat="1" ht="20.25" customHeight="1">
      <c r="B5" s="243" t="s">
        <v>426</v>
      </c>
      <c r="C5" s="243"/>
      <c r="D5" s="243"/>
      <c r="E5" s="243"/>
      <c r="M5" s="144"/>
      <c r="N5" s="144"/>
      <c r="O5" s="144"/>
      <c r="P5" s="144"/>
      <c r="BS5" s="132" t="s">
        <v>35</v>
      </c>
    </row>
    <row r="6" spans="1:71" ht="18" customHeight="1">
      <c r="B6" s="141" t="s">
        <v>30</v>
      </c>
      <c r="C6" s="137" t="s">
        <v>32</v>
      </c>
      <c r="D6" s="135" t="s">
        <v>15</v>
      </c>
      <c r="E6" s="139" t="s">
        <v>16</v>
      </c>
      <c r="BS6" s="132" t="s">
        <v>29</v>
      </c>
    </row>
    <row r="7" spans="1:71" ht="18" customHeight="1">
      <c r="B7" s="146" t="s">
        <v>31</v>
      </c>
      <c r="C7" s="138">
        <f>-VLOOKUP($F$3,ทะเบียนราษฏร์!$B$4:$AY$54,5,FALSE)</f>
        <v>-1361</v>
      </c>
      <c r="D7" s="136">
        <f>VLOOKUP($F$3,ทะเบียนราษฏร์!$B$4:$AY$54,6,FALSE)</f>
        <v>1431</v>
      </c>
      <c r="E7" s="140">
        <f>VLOOKUP($F$3,ทะเบียนราษฏร์!$B$4:$AY$54,7,FALSE)</f>
        <v>2792</v>
      </c>
      <c r="BS7" s="132" t="s">
        <v>36</v>
      </c>
    </row>
    <row r="8" spans="1:71" ht="18" customHeight="1">
      <c r="B8" s="146" t="s">
        <v>5</v>
      </c>
      <c r="C8" s="138">
        <f>-VLOOKUP($F$3,ทะเบียนราษฏร์!$B$4:$AY$54,23,FALSE)</f>
        <v>-1537</v>
      </c>
      <c r="D8" s="136">
        <f>VLOOKUP($F$3,ทะเบียนราษฏร์!$B$4:$AY$54,24,FALSE)</f>
        <v>1908</v>
      </c>
      <c r="E8" s="140">
        <f>VLOOKUP($F$3,ทะเบียนราษฏร์!$B$4:$AY$54,25,FALSE)</f>
        <v>3445</v>
      </c>
      <c r="BS8" s="132" t="s">
        <v>37</v>
      </c>
    </row>
    <row r="9" spans="1:71" ht="18" customHeight="1">
      <c r="B9" s="146" t="s">
        <v>6</v>
      </c>
      <c r="C9" s="138">
        <f>-VLOOKUP($F$3,ทะเบียนราษฏร์!$B$4:$AY$54,26,FALSE)</f>
        <v>-1466</v>
      </c>
      <c r="D9" s="136">
        <f>VLOOKUP($F$3,ทะเบียนราษฏร์!$B$4:$AY$54,27,FALSE)</f>
        <v>1709</v>
      </c>
      <c r="E9" s="140">
        <f>VLOOKUP($F$3,ทะเบียนราษฏร์!$B$4:$AY$54,28,FALSE)</f>
        <v>3175</v>
      </c>
      <c r="BS9" s="132" t="s">
        <v>38</v>
      </c>
    </row>
    <row r="10" spans="1:71" ht="18" customHeight="1">
      <c r="B10" s="146" t="s">
        <v>7</v>
      </c>
      <c r="C10" s="138">
        <f>-VLOOKUP($F$3,ทะเบียนราษฏร์!$B$4:$AY$54,29,FALSE)</f>
        <v>-1037</v>
      </c>
      <c r="D10" s="136">
        <f>VLOOKUP($F$3,ทะเบียนราษฏร์!$B$4:$AY$54,30,FALSE)</f>
        <v>1353</v>
      </c>
      <c r="E10" s="140">
        <f>VLOOKUP($F$3,ทะเบียนราษฏร์!$B$4:$AY$54,31,FALSE)</f>
        <v>2390</v>
      </c>
      <c r="BS10" s="132" t="s">
        <v>39</v>
      </c>
    </row>
    <row r="11" spans="1:71" ht="18" customHeight="1">
      <c r="B11" s="146" t="s">
        <v>8</v>
      </c>
      <c r="C11" s="138">
        <f>-VLOOKUP($F$3,ทะเบียนราษฏร์!$B$4:$AY$54,32,FALSE)</f>
        <v>-754</v>
      </c>
      <c r="D11" s="136">
        <f>VLOOKUP($F$3,ทะเบียนราษฏร์!$B$4:$AY$54,33,FALSE)</f>
        <v>913</v>
      </c>
      <c r="E11" s="140">
        <f>VLOOKUP($F$3,ทะเบียนราษฏร์!$B$4:$AY$54,34,FALSE)</f>
        <v>1667</v>
      </c>
      <c r="BS11" s="132" t="s">
        <v>40</v>
      </c>
    </row>
    <row r="12" spans="1:71" ht="18" customHeight="1">
      <c r="B12" s="146" t="s">
        <v>9</v>
      </c>
      <c r="C12" s="138">
        <f>-VLOOKUP($F$3,ทะเบียนราษฏร์!$B$4:$AY$54,35,FALSE)</f>
        <v>-613</v>
      </c>
      <c r="D12" s="136">
        <f>VLOOKUP($F$3,ทะเบียนราษฏร์!$B$4:$AY$54,36,FALSE)</f>
        <v>854</v>
      </c>
      <c r="E12" s="140">
        <f>VLOOKUP($F$3,ทะเบียนราษฏร์!$B$4:$AY$54,37,FALSE)</f>
        <v>1467</v>
      </c>
      <c r="BS12" s="132" t="s">
        <v>41</v>
      </c>
    </row>
    <row r="13" spans="1:71" ht="18" customHeight="1">
      <c r="B13" s="146" t="s">
        <v>10</v>
      </c>
      <c r="C13" s="138">
        <f>-VLOOKUP($F$3,ทะเบียนราษฏร์!$B$4:$AY$54,38,FALSE)</f>
        <v>-392</v>
      </c>
      <c r="D13" s="136">
        <f>VLOOKUP($F$3,ทะเบียนราษฏร์!$B$4:$AY$54,39,FALSE)</f>
        <v>555</v>
      </c>
      <c r="E13" s="140">
        <f>VLOOKUP($F$3,ทะเบียนราษฏร์!$B$4:$AY$54,40,FALSE)</f>
        <v>947</v>
      </c>
      <c r="BS13" s="132" t="s">
        <v>42</v>
      </c>
    </row>
    <row r="14" spans="1:71" ht="18" customHeight="1">
      <c r="B14" s="146" t="s">
        <v>11</v>
      </c>
      <c r="C14" s="138">
        <f>-VLOOKUP($F$3,ทะเบียนราษฏร์!$B$4:$AY$54,41,FALSE)</f>
        <v>-203</v>
      </c>
      <c r="D14" s="136">
        <f>VLOOKUP($F$3,ทะเบียนราษฏร์!$B$4:$AY$54,42,FALSE)</f>
        <v>255</v>
      </c>
      <c r="E14" s="140">
        <f>VLOOKUP($F$3,ทะเบียนราษฏร์!$B$4:$AY$54,43,FALSE)</f>
        <v>458</v>
      </c>
      <c r="BS14" s="132" t="s">
        <v>43</v>
      </c>
    </row>
    <row r="15" spans="1:71" ht="18" customHeight="1">
      <c r="B15" s="146" t="s">
        <v>12</v>
      </c>
      <c r="C15" s="138">
        <f>-VLOOKUP($F$3,ทะเบียนราษฏร์!$B$4:$AY$54,44,FALSE)</f>
        <v>-120</v>
      </c>
      <c r="D15" s="136">
        <f>VLOOKUP($F$3,ทะเบียนราษฏร์!$B$4:$AY$54,45,FALSE)</f>
        <v>93</v>
      </c>
      <c r="E15" s="140">
        <f>VLOOKUP($F$3,ทะเบียนราษฏร์!$B$4:$AY$54,46,FALSE)</f>
        <v>213</v>
      </c>
      <c r="BS15" s="132" t="s">
        <v>44</v>
      </c>
    </row>
    <row r="16" spans="1:71" ht="18" customHeight="1">
      <c r="B16" s="146" t="s">
        <v>419</v>
      </c>
      <c r="C16" s="138">
        <f>-VLOOKUP($F$3,ทะเบียนราษฏร์!$B$4:$AY$54,47,FALSE)</f>
        <v>-106</v>
      </c>
      <c r="D16" s="136">
        <f>VLOOKUP($F$3,ทะเบียนราษฏร์!$B$4:$AY$54,48,FALSE)</f>
        <v>44</v>
      </c>
      <c r="E16" s="140">
        <f>VLOOKUP($F$3,ทะเบียนราษฏร์!$B$4:$AY$54,49,FALSE)</f>
        <v>150</v>
      </c>
      <c r="BS16" s="132" t="s">
        <v>45</v>
      </c>
    </row>
    <row r="17" spans="7:71">
      <c r="BS17" s="132" t="s">
        <v>46</v>
      </c>
    </row>
    <row r="18" spans="7:71">
      <c r="G18" s="149"/>
      <c r="H18" s="149"/>
      <c r="I18" s="149"/>
      <c r="J18" s="149"/>
      <c r="BS18" s="132" t="s">
        <v>47</v>
      </c>
    </row>
    <row r="19" spans="7:71">
      <c r="BS19" s="132" t="s">
        <v>49</v>
      </c>
    </row>
    <row r="20" spans="7:71">
      <c r="BS20" s="132" t="s">
        <v>48</v>
      </c>
    </row>
    <row r="21" spans="7:71">
      <c r="BS21" s="132" t="s">
        <v>73</v>
      </c>
    </row>
    <row r="22" spans="7:71">
      <c r="BS22" s="132" t="s">
        <v>72</v>
      </c>
    </row>
    <row r="23" spans="7:71">
      <c r="BS23" s="133" t="s">
        <v>71</v>
      </c>
    </row>
    <row r="24" spans="7:71">
      <c r="BS24" s="132" t="s">
        <v>70</v>
      </c>
    </row>
    <row r="25" spans="7:71">
      <c r="P25" s="134" t="s">
        <v>633</v>
      </c>
      <c r="BS25" s="132" t="s">
        <v>69</v>
      </c>
    </row>
    <row r="26" spans="7:71">
      <c r="BS26" s="132" t="s">
        <v>68</v>
      </c>
    </row>
    <row r="27" spans="7:71">
      <c r="BS27" s="132" t="s">
        <v>67</v>
      </c>
    </row>
    <row r="28" spans="7:71">
      <c r="BS28" s="132" t="s">
        <v>66</v>
      </c>
    </row>
    <row r="29" spans="7:71">
      <c r="BS29" s="132" t="s">
        <v>65</v>
      </c>
    </row>
    <row r="30" spans="7:71">
      <c r="BS30" s="132" t="s">
        <v>64</v>
      </c>
    </row>
    <row r="31" spans="7:71">
      <c r="BS31" s="133" t="s">
        <v>63</v>
      </c>
    </row>
    <row r="32" spans="7:71">
      <c r="BS32" s="132" t="s">
        <v>62</v>
      </c>
    </row>
    <row r="33" spans="71:71">
      <c r="BS33" s="132" t="s">
        <v>61</v>
      </c>
    </row>
    <row r="34" spans="71:71">
      <c r="BS34" s="132" t="s">
        <v>60</v>
      </c>
    </row>
    <row r="35" spans="71:71">
      <c r="BS35" s="132" t="s">
        <v>59</v>
      </c>
    </row>
    <row r="36" spans="71:71">
      <c r="BS36" s="132" t="s">
        <v>58</v>
      </c>
    </row>
    <row r="37" spans="71:71">
      <c r="BS37" s="132" t="s">
        <v>57</v>
      </c>
    </row>
    <row r="38" spans="71:71">
      <c r="BS38" s="132" t="s">
        <v>56</v>
      </c>
    </row>
    <row r="39" spans="71:71">
      <c r="BS39" s="132" t="s">
        <v>55</v>
      </c>
    </row>
    <row r="40" spans="71:71">
      <c r="BS40" s="132" t="s">
        <v>54</v>
      </c>
    </row>
    <row r="41" spans="71:71">
      <c r="BS41" s="132" t="s">
        <v>53</v>
      </c>
    </row>
    <row r="42" spans="71:71">
      <c r="BS42" s="132" t="s">
        <v>52</v>
      </c>
    </row>
    <row r="43" spans="71:71">
      <c r="BS43" s="132" t="s">
        <v>51</v>
      </c>
    </row>
    <row r="44" spans="71:71">
      <c r="BS44" s="132" t="s">
        <v>50</v>
      </c>
    </row>
    <row r="45" spans="71:71">
      <c r="BS45" s="132" t="s">
        <v>19</v>
      </c>
    </row>
    <row r="46" spans="71:71">
      <c r="BS46" s="132" t="s">
        <v>20</v>
      </c>
    </row>
    <row r="47" spans="71:71">
      <c r="BS47" s="132" t="s">
        <v>21</v>
      </c>
    </row>
    <row r="48" spans="71:71">
      <c r="BS48" s="132" t="s">
        <v>22</v>
      </c>
    </row>
    <row r="49" spans="71:71">
      <c r="BS49" s="132" t="s">
        <v>23</v>
      </c>
    </row>
    <row r="50" spans="71:71">
      <c r="BS50" s="132" t="s">
        <v>24</v>
      </c>
    </row>
    <row r="51" spans="71:71">
      <c r="BS51" s="132" t="s">
        <v>25</v>
      </c>
    </row>
  </sheetData>
  <sheetProtection algorithmName="SHA-512" hashValue="XYVxfvEi03pWXLyFVemtZjbq1wKXmzW/8pMPa7m8KYbUu6mZYEtG2NdpqorrIwQseUozAdwnKL9UFJr9kqKTPw==" saltValue="8AyYK3WVhyAf4nl00D8T8g==" spinCount="100000" sheet="1" objects="1" scenarios="1"/>
  <mergeCells count="3">
    <mergeCell ref="A3:E3"/>
    <mergeCell ref="B5:E5"/>
    <mergeCell ref="A1:O1"/>
  </mergeCells>
  <dataValidations count="1">
    <dataValidation type="list" allowBlank="1" showInputMessage="1" showErrorMessage="1" sqref="F3:F4" xr:uid="{B199EB5F-0D44-4478-9742-1D2890B347B5}">
      <formula1>$BS$1:$BS$51</formula1>
    </dataValidation>
  </dataValidations>
  <pageMargins left="0.38" right="0.14000000000000001" top="0.48" bottom="0.51" header="0.17" footer="0.31496062992126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C187A-ACB0-F748-B9AE-85515E331C18}">
  <dimension ref="B1:BT55"/>
  <sheetViews>
    <sheetView workbookViewId="0">
      <selection activeCell="E35" sqref="E35:H35"/>
    </sheetView>
  </sheetViews>
  <sheetFormatPr defaultColWidth="8.85546875" defaultRowHeight="15"/>
  <cols>
    <col min="2" max="2" width="21.140625" style="50" customWidth="1"/>
    <col min="3" max="3" width="15.140625" style="83" customWidth="1"/>
    <col min="4" max="4" width="16.140625" style="83" bestFit="1" customWidth="1"/>
    <col min="5" max="6" width="12.85546875" style="71" customWidth="1"/>
    <col min="7" max="16" width="12.85546875" customWidth="1"/>
    <col min="17" max="20" width="13.140625" customWidth="1"/>
  </cols>
  <sheetData>
    <row r="1" spans="2:72" ht="15.75" thickBot="1">
      <c r="B1" s="50">
        <v>1</v>
      </c>
    </row>
    <row r="2" spans="2:72" ht="21.75" customHeight="1">
      <c r="B2" s="280" t="s">
        <v>85</v>
      </c>
      <c r="C2" s="283" t="s">
        <v>93</v>
      </c>
      <c r="D2" s="286" t="s">
        <v>92</v>
      </c>
      <c r="E2" s="268">
        <v>1</v>
      </c>
      <c r="F2" s="267"/>
      <c r="G2" s="266">
        <v>2</v>
      </c>
      <c r="H2" s="267"/>
      <c r="I2" s="266">
        <v>3</v>
      </c>
      <c r="J2" s="267"/>
      <c r="K2" s="266">
        <v>4</v>
      </c>
      <c r="L2" s="267"/>
      <c r="M2" s="266">
        <v>5</v>
      </c>
      <c r="N2" s="267"/>
      <c r="O2" s="266">
        <v>6</v>
      </c>
      <c r="P2" s="267"/>
      <c r="Q2" s="266">
        <v>7</v>
      </c>
      <c r="R2" s="267"/>
      <c r="S2" s="266">
        <v>8</v>
      </c>
      <c r="T2" s="267"/>
      <c r="U2" s="268">
        <v>9</v>
      </c>
      <c r="V2" s="267"/>
      <c r="W2" s="266">
        <v>10</v>
      </c>
      <c r="X2" s="267"/>
      <c r="Y2" s="266">
        <v>11</v>
      </c>
      <c r="Z2" s="267"/>
      <c r="AA2" s="266">
        <v>12</v>
      </c>
      <c r="AB2" s="267"/>
      <c r="AC2" s="266">
        <v>13</v>
      </c>
      <c r="AD2" s="267"/>
      <c r="AE2" s="266">
        <v>14</v>
      </c>
      <c r="AF2" s="267"/>
      <c r="AG2" s="266">
        <v>15</v>
      </c>
      <c r="AH2" s="267"/>
      <c r="AI2" s="266">
        <v>16</v>
      </c>
      <c r="AJ2" s="267"/>
      <c r="AK2" s="266">
        <v>17</v>
      </c>
      <c r="AL2" s="267"/>
      <c r="AM2" s="266">
        <v>18</v>
      </c>
      <c r="AN2" s="267"/>
      <c r="AO2" s="266">
        <v>19</v>
      </c>
      <c r="AP2" s="267"/>
      <c r="AQ2" s="266">
        <v>20</v>
      </c>
      <c r="AR2" s="267"/>
      <c r="AS2" s="266">
        <v>21</v>
      </c>
      <c r="AT2" s="267"/>
      <c r="AU2" s="266">
        <v>22</v>
      </c>
      <c r="AV2" s="267"/>
      <c r="AW2" s="266">
        <v>23</v>
      </c>
      <c r="AX2" s="267"/>
      <c r="AY2" s="266">
        <v>24</v>
      </c>
      <c r="AZ2" s="267"/>
      <c r="BA2" s="266">
        <v>25</v>
      </c>
      <c r="BB2" s="267"/>
      <c r="BC2" s="266">
        <v>26</v>
      </c>
      <c r="BD2" s="267"/>
      <c r="BE2" s="266">
        <v>27</v>
      </c>
      <c r="BF2" s="267"/>
      <c r="BG2" s="266">
        <v>28</v>
      </c>
      <c r="BH2" s="267"/>
      <c r="BI2" s="266">
        <v>29</v>
      </c>
      <c r="BJ2" s="267"/>
      <c r="BK2" s="266">
        <v>30</v>
      </c>
      <c r="BL2" s="267"/>
      <c r="BM2" s="266">
        <v>31</v>
      </c>
      <c r="BN2" s="267"/>
      <c r="BO2" s="266"/>
      <c r="BP2" s="267"/>
      <c r="BQ2" s="266"/>
      <c r="BR2" s="267"/>
      <c r="BS2" s="266"/>
      <c r="BT2" s="267"/>
    </row>
    <row r="3" spans="2:72" ht="21.75" customHeight="1">
      <c r="B3" s="281"/>
      <c r="C3" s="284"/>
      <c r="D3" s="287"/>
      <c r="E3" s="278" t="s">
        <v>101</v>
      </c>
      <c r="F3" s="264" t="s">
        <v>102</v>
      </c>
      <c r="G3" s="262" t="s">
        <v>101</v>
      </c>
      <c r="H3" s="264" t="s">
        <v>102</v>
      </c>
      <c r="I3" s="262" t="s">
        <v>101</v>
      </c>
      <c r="J3" s="264" t="s">
        <v>102</v>
      </c>
      <c r="K3" s="262" t="s">
        <v>101</v>
      </c>
      <c r="L3" s="264" t="s">
        <v>102</v>
      </c>
      <c r="M3" s="262" t="s">
        <v>101</v>
      </c>
      <c r="N3" s="264" t="s">
        <v>102</v>
      </c>
      <c r="O3" s="262" t="s">
        <v>101</v>
      </c>
      <c r="P3" s="264" t="s">
        <v>102</v>
      </c>
      <c r="Q3" s="262" t="s">
        <v>101</v>
      </c>
      <c r="R3" s="264" t="s">
        <v>102</v>
      </c>
      <c r="S3" s="262" t="s">
        <v>101</v>
      </c>
      <c r="T3" s="264" t="s">
        <v>102</v>
      </c>
      <c r="U3" s="262" t="s">
        <v>101</v>
      </c>
      <c r="V3" s="264" t="s">
        <v>102</v>
      </c>
      <c r="W3" s="262" t="s">
        <v>101</v>
      </c>
      <c r="X3" s="264" t="s">
        <v>102</v>
      </c>
      <c r="Y3" s="262" t="s">
        <v>101</v>
      </c>
      <c r="Z3" s="264" t="s">
        <v>102</v>
      </c>
      <c r="AA3" s="262" t="s">
        <v>101</v>
      </c>
      <c r="AB3" s="264" t="s">
        <v>102</v>
      </c>
      <c r="AC3" s="262" t="s">
        <v>101</v>
      </c>
      <c r="AD3" s="264" t="s">
        <v>102</v>
      </c>
      <c r="AE3" s="262" t="s">
        <v>101</v>
      </c>
      <c r="AF3" s="264" t="s">
        <v>102</v>
      </c>
      <c r="AG3" s="262" t="s">
        <v>101</v>
      </c>
      <c r="AH3" s="264" t="s">
        <v>102</v>
      </c>
      <c r="AI3" s="262" t="s">
        <v>101</v>
      </c>
      <c r="AJ3" s="264" t="s">
        <v>102</v>
      </c>
      <c r="AK3" s="262" t="s">
        <v>101</v>
      </c>
      <c r="AL3" s="264" t="s">
        <v>102</v>
      </c>
      <c r="AM3" s="262" t="s">
        <v>101</v>
      </c>
      <c r="AN3" s="264" t="s">
        <v>102</v>
      </c>
      <c r="AO3" s="262" t="s">
        <v>101</v>
      </c>
      <c r="AP3" s="264" t="s">
        <v>102</v>
      </c>
      <c r="AQ3" s="262" t="s">
        <v>101</v>
      </c>
      <c r="AR3" s="264" t="s">
        <v>102</v>
      </c>
      <c r="AS3" s="262" t="s">
        <v>101</v>
      </c>
      <c r="AT3" s="264" t="s">
        <v>102</v>
      </c>
      <c r="AU3" s="262" t="s">
        <v>101</v>
      </c>
      <c r="AV3" s="264" t="s">
        <v>102</v>
      </c>
      <c r="AW3" s="262" t="s">
        <v>101</v>
      </c>
      <c r="AX3" s="264" t="s">
        <v>102</v>
      </c>
      <c r="AY3" s="262" t="s">
        <v>101</v>
      </c>
      <c r="AZ3" s="264" t="s">
        <v>102</v>
      </c>
      <c r="BA3" s="262" t="s">
        <v>101</v>
      </c>
      <c r="BB3" s="264" t="s">
        <v>102</v>
      </c>
      <c r="BC3" s="262" t="s">
        <v>101</v>
      </c>
      <c r="BD3" s="264" t="s">
        <v>102</v>
      </c>
      <c r="BE3" s="262" t="s">
        <v>101</v>
      </c>
      <c r="BF3" s="264" t="s">
        <v>102</v>
      </c>
      <c r="BG3" s="262" t="s">
        <v>101</v>
      </c>
      <c r="BH3" s="264" t="s">
        <v>102</v>
      </c>
      <c r="BI3" s="262" t="s">
        <v>101</v>
      </c>
      <c r="BJ3" s="264" t="s">
        <v>102</v>
      </c>
      <c r="BK3" s="262" t="s">
        <v>101</v>
      </c>
      <c r="BL3" s="264" t="s">
        <v>102</v>
      </c>
      <c r="BM3" s="262" t="s">
        <v>101</v>
      </c>
      <c r="BN3" s="264" t="s">
        <v>102</v>
      </c>
      <c r="BO3" s="262"/>
      <c r="BP3" s="264"/>
      <c r="BQ3" s="262"/>
      <c r="BR3" s="264"/>
      <c r="BS3" s="262"/>
      <c r="BT3" s="264"/>
    </row>
    <row r="4" spans="2:72" ht="22.5" customHeight="1" thickBot="1">
      <c r="B4" s="282"/>
      <c r="C4" s="285"/>
      <c r="D4" s="288"/>
      <c r="E4" s="279"/>
      <c r="F4" s="265"/>
      <c r="G4" s="263"/>
      <c r="H4" s="265"/>
      <c r="I4" s="263"/>
      <c r="J4" s="265"/>
      <c r="K4" s="263"/>
      <c r="L4" s="265"/>
      <c r="M4" s="263"/>
      <c r="N4" s="265"/>
      <c r="O4" s="263"/>
      <c r="P4" s="265"/>
      <c r="Q4" s="263"/>
      <c r="R4" s="265"/>
      <c r="S4" s="263"/>
      <c r="T4" s="265"/>
      <c r="U4" s="263"/>
      <c r="V4" s="265"/>
      <c r="W4" s="263"/>
      <c r="X4" s="265"/>
      <c r="Y4" s="263"/>
      <c r="Z4" s="265"/>
      <c r="AA4" s="263"/>
      <c r="AB4" s="265"/>
      <c r="AC4" s="263"/>
      <c r="AD4" s="265"/>
      <c r="AE4" s="263"/>
      <c r="AF4" s="265"/>
      <c r="AG4" s="263"/>
      <c r="AH4" s="265"/>
      <c r="AI4" s="263"/>
      <c r="AJ4" s="265"/>
      <c r="AK4" s="263"/>
      <c r="AL4" s="265"/>
      <c r="AM4" s="263"/>
      <c r="AN4" s="265"/>
      <c r="AO4" s="263"/>
      <c r="AP4" s="265"/>
      <c r="AQ4" s="263"/>
      <c r="AR4" s="265"/>
      <c r="AS4" s="263"/>
      <c r="AT4" s="265"/>
      <c r="AU4" s="263"/>
      <c r="AV4" s="265"/>
      <c r="AW4" s="263"/>
      <c r="AX4" s="265"/>
      <c r="AY4" s="263"/>
      <c r="AZ4" s="265"/>
      <c r="BA4" s="263"/>
      <c r="BB4" s="265"/>
      <c r="BC4" s="263"/>
      <c r="BD4" s="265"/>
      <c r="BE4" s="263"/>
      <c r="BF4" s="265"/>
      <c r="BG4" s="263"/>
      <c r="BH4" s="265"/>
      <c r="BI4" s="263"/>
      <c r="BJ4" s="265"/>
      <c r="BK4" s="263"/>
      <c r="BL4" s="265"/>
      <c r="BM4" s="263"/>
      <c r="BN4" s="265"/>
      <c r="BO4" s="263"/>
      <c r="BP4" s="265"/>
      <c r="BQ4" s="263"/>
      <c r="BR4" s="265"/>
      <c r="BS4" s="263"/>
      <c r="BT4" s="265"/>
    </row>
    <row r="5" spans="2:72" ht="24.75" thickBot="1">
      <c r="B5" s="53" t="s">
        <v>418</v>
      </c>
      <c r="C5" s="84">
        <v>308</v>
      </c>
      <c r="D5" s="85">
        <v>29660</v>
      </c>
      <c r="E5" s="72"/>
      <c r="F5" s="73"/>
      <c r="G5" s="74"/>
      <c r="H5" s="75"/>
      <c r="I5" s="74"/>
      <c r="J5" s="75"/>
      <c r="K5" s="74"/>
      <c r="L5" s="75"/>
      <c r="M5" s="74"/>
      <c r="N5" s="75"/>
      <c r="O5" s="74"/>
      <c r="P5" s="75"/>
      <c r="Q5" s="74"/>
      <c r="R5" s="75"/>
      <c r="S5" s="74"/>
      <c r="T5" s="75"/>
      <c r="U5" s="72"/>
      <c r="V5" s="73"/>
      <c r="W5" s="74"/>
      <c r="X5" s="75"/>
      <c r="Y5" s="74"/>
      <c r="Z5" s="75"/>
      <c r="AA5" s="74"/>
      <c r="AB5" s="75"/>
      <c r="AC5" s="74"/>
      <c r="AD5" s="75"/>
      <c r="AE5" s="74"/>
      <c r="AF5" s="75"/>
      <c r="AG5" s="74"/>
      <c r="AH5" s="75"/>
      <c r="AI5" s="74"/>
      <c r="AJ5" s="75"/>
    </row>
    <row r="6" spans="2:72" ht="24">
      <c r="B6" s="76" t="s">
        <v>18</v>
      </c>
      <c r="C6" s="84">
        <v>0</v>
      </c>
      <c r="D6" s="85">
        <v>0</v>
      </c>
      <c r="E6" s="77"/>
      <c r="F6" s="78"/>
      <c r="G6" s="79"/>
      <c r="H6" s="80"/>
      <c r="I6" s="79"/>
      <c r="J6" s="80"/>
      <c r="K6" s="79"/>
      <c r="L6" s="80"/>
      <c r="M6" s="79"/>
      <c r="N6" s="80"/>
      <c r="O6" s="79"/>
      <c r="P6" s="80"/>
      <c r="Q6" s="79"/>
      <c r="R6" s="80"/>
      <c r="S6" s="79"/>
      <c r="T6" s="80"/>
      <c r="U6" s="77"/>
      <c r="V6" s="78"/>
      <c r="W6" s="79"/>
      <c r="X6" s="80"/>
      <c r="Y6" s="79"/>
      <c r="Z6" s="80"/>
      <c r="AA6" s="79"/>
      <c r="AB6" s="80"/>
      <c r="AC6" s="79"/>
      <c r="AD6" s="80"/>
      <c r="AE6" s="79"/>
      <c r="AF6" s="80"/>
      <c r="AG6" s="79"/>
      <c r="AH6" s="80"/>
      <c r="AI6" s="79"/>
      <c r="AJ6" s="80"/>
    </row>
    <row r="7" spans="2:72" ht="24">
      <c r="B7" s="52" t="s">
        <v>33</v>
      </c>
      <c r="C7" s="84">
        <v>12</v>
      </c>
      <c r="D7" s="85">
        <v>360</v>
      </c>
      <c r="E7" s="77" t="s">
        <v>104</v>
      </c>
      <c r="F7" s="78">
        <v>30</v>
      </c>
      <c r="G7" s="77" t="s">
        <v>105</v>
      </c>
      <c r="H7" s="78">
        <v>30</v>
      </c>
      <c r="I7" s="77" t="s">
        <v>106</v>
      </c>
      <c r="J7" s="78">
        <v>30</v>
      </c>
      <c r="K7" s="77" t="s">
        <v>107</v>
      </c>
      <c r="L7" s="78">
        <v>30</v>
      </c>
      <c r="M7" s="77" t="s">
        <v>108</v>
      </c>
      <c r="N7" s="78">
        <v>30</v>
      </c>
      <c r="O7" s="77" t="s">
        <v>109</v>
      </c>
      <c r="P7" s="78">
        <v>30</v>
      </c>
      <c r="Q7" s="77" t="s">
        <v>110</v>
      </c>
      <c r="R7" s="78">
        <v>30</v>
      </c>
      <c r="S7" s="77" t="s">
        <v>111</v>
      </c>
      <c r="T7" s="78">
        <v>30</v>
      </c>
      <c r="U7" s="77" t="s">
        <v>112</v>
      </c>
      <c r="V7" s="78">
        <v>30</v>
      </c>
      <c r="W7" s="77" t="s">
        <v>113</v>
      </c>
      <c r="X7" s="78">
        <v>30</v>
      </c>
      <c r="Y7" s="77" t="s">
        <v>114</v>
      </c>
      <c r="Z7" s="78">
        <v>30</v>
      </c>
      <c r="AA7" s="77" t="s">
        <v>115</v>
      </c>
      <c r="AB7" s="78">
        <v>30</v>
      </c>
      <c r="AC7" s="77">
        <v>0</v>
      </c>
      <c r="AD7" s="78">
        <v>0</v>
      </c>
      <c r="AE7" s="77">
        <v>0</v>
      </c>
      <c r="AF7" s="78">
        <v>0</v>
      </c>
      <c r="AG7" s="77">
        <v>0</v>
      </c>
      <c r="AH7" s="78">
        <v>0</v>
      </c>
      <c r="AI7" s="77">
        <v>0</v>
      </c>
      <c r="AJ7" s="78">
        <v>0</v>
      </c>
    </row>
    <row r="8" spans="2:72" ht="24">
      <c r="B8" s="52" t="s">
        <v>34</v>
      </c>
      <c r="C8" s="84">
        <v>2</v>
      </c>
      <c r="D8" s="85">
        <v>146</v>
      </c>
      <c r="E8" s="77" t="s">
        <v>116</v>
      </c>
      <c r="F8" s="78">
        <v>98</v>
      </c>
      <c r="G8" s="77" t="s">
        <v>117</v>
      </c>
      <c r="H8" s="78">
        <v>48</v>
      </c>
      <c r="I8" s="77">
        <v>0</v>
      </c>
      <c r="J8" s="78">
        <v>0</v>
      </c>
      <c r="K8" s="77">
        <v>0</v>
      </c>
      <c r="L8" s="78">
        <v>0</v>
      </c>
      <c r="M8" s="77">
        <v>0</v>
      </c>
      <c r="N8" s="78">
        <v>0</v>
      </c>
      <c r="O8" s="77">
        <v>0</v>
      </c>
      <c r="P8" s="78">
        <v>0</v>
      </c>
      <c r="Q8" s="77">
        <v>0</v>
      </c>
      <c r="R8" s="78">
        <v>0</v>
      </c>
      <c r="S8" s="77">
        <v>0</v>
      </c>
      <c r="T8" s="78">
        <v>0</v>
      </c>
      <c r="U8" s="77">
        <v>0</v>
      </c>
      <c r="V8" s="78">
        <v>0</v>
      </c>
      <c r="W8" s="77">
        <v>0</v>
      </c>
      <c r="X8" s="78">
        <v>0</v>
      </c>
      <c r="Y8" s="77">
        <v>0</v>
      </c>
      <c r="Z8" s="78">
        <v>0</v>
      </c>
      <c r="AA8" s="77">
        <v>0</v>
      </c>
      <c r="AB8" s="78">
        <v>0</v>
      </c>
      <c r="AC8" s="77">
        <v>0</v>
      </c>
      <c r="AD8" s="78">
        <v>0</v>
      </c>
      <c r="AE8" s="77">
        <v>0</v>
      </c>
      <c r="AF8" s="78">
        <v>0</v>
      </c>
      <c r="AG8" s="77">
        <v>0</v>
      </c>
      <c r="AH8" s="78">
        <v>0</v>
      </c>
      <c r="AI8" s="77">
        <v>0</v>
      </c>
      <c r="AJ8" s="78">
        <v>0</v>
      </c>
    </row>
    <row r="9" spans="2:72" ht="24">
      <c r="B9" s="52" t="s">
        <v>35</v>
      </c>
      <c r="C9" s="84">
        <v>1</v>
      </c>
      <c r="D9" s="85">
        <v>30</v>
      </c>
      <c r="E9" s="77" t="s">
        <v>118</v>
      </c>
      <c r="F9" s="78">
        <v>30</v>
      </c>
      <c r="G9" s="77">
        <v>0</v>
      </c>
      <c r="H9" s="78">
        <v>0</v>
      </c>
      <c r="I9" s="77">
        <v>0</v>
      </c>
      <c r="J9" s="78">
        <v>0</v>
      </c>
      <c r="K9" s="77">
        <v>0</v>
      </c>
      <c r="L9" s="78">
        <v>0</v>
      </c>
      <c r="M9" s="77">
        <v>0</v>
      </c>
      <c r="N9" s="78">
        <v>0</v>
      </c>
      <c r="O9" s="77">
        <v>0</v>
      </c>
      <c r="P9" s="78">
        <v>0</v>
      </c>
      <c r="Q9" s="77">
        <v>0</v>
      </c>
      <c r="R9" s="78">
        <v>0</v>
      </c>
      <c r="S9" s="77">
        <v>0</v>
      </c>
      <c r="T9" s="78">
        <v>0</v>
      </c>
      <c r="U9" s="77">
        <v>0</v>
      </c>
      <c r="V9" s="78">
        <v>0</v>
      </c>
      <c r="W9" s="77">
        <v>0</v>
      </c>
      <c r="X9" s="78">
        <v>0</v>
      </c>
      <c r="Y9" s="77">
        <v>0</v>
      </c>
      <c r="Z9" s="78">
        <v>0</v>
      </c>
      <c r="AA9" s="77">
        <v>0</v>
      </c>
      <c r="AB9" s="78">
        <v>0</v>
      </c>
      <c r="AC9" s="77">
        <v>0</v>
      </c>
      <c r="AD9" s="78">
        <v>0</v>
      </c>
      <c r="AE9" s="77">
        <v>0</v>
      </c>
      <c r="AF9" s="78">
        <v>0</v>
      </c>
      <c r="AG9" s="77">
        <v>0</v>
      </c>
      <c r="AH9" s="78">
        <v>0</v>
      </c>
      <c r="AI9" s="77">
        <v>0</v>
      </c>
      <c r="AJ9" s="78">
        <v>0</v>
      </c>
    </row>
    <row r="10" spans="2:72" ht="24">
      <c r="B10" s="52" t="s">
        <v>29</v>
      </c>
      <c r="C10" s="84">
        <v>2</v>
      </c>
      <c r="D10" s="85">
        <v>225</v>
      </c>
      <c r="E10" s="77" t="s">
        <v>119</v>
      </c>
      <c r="F10" s="78">
        <v>185</v>
      </c>
      <c r="G10" s="79" t="s">
        <v>120</v>
      </c>
      <c r="H10" s="80">
        <v>40</v>
      </c>
      <c r="I10" s="77">
        <v>0</v>
      </c>
      <c r="J10" s="78">
        <v>0</v>
      </c>
      <c r="K10" s="79">
        <v>0</v>
      </c>
      <c r="L10" s="80">
        <v>0</v>
      </c>
      <c r="M10" s="77">
        <v>0</v>
      </c>
      <c r="N10" s="78">
        <v>0</v>
      </c>
      <c r="O10" s="79">
        <v>0</v>
      </c>
      <c r="P10" s="80">
        <v>0</v>
      </c>
      <c r="Q10" s="77">
        <v>0</v>
      </c>
      <c r="R10" s="78">
        <v>0</v>
      </c>
      <c r="S10" s="79">
        <v>0</v>
      </c>
      <c r="T10" s="80">
        <v>0</v>
      </c>
      <c r="U10" s="77">
        <v>0</v>
      </c>
      <c r="V10" s="78">
        <v>0</v>
      </c>
      <c r="W10" s="79">
        <v>0</v>
      </c>
      <c r="X10" s="80">
        <v>0</v>
      </c>
      <c r="Y10" s="77">
        <v>0</v>
      </c>
      <c r="Z10" s="78">
        <v>0</v>
      </c>
      <c r="AA10" s="79">
        <v>0</v>
      </c>
      <c r="AB10" s="80">
        <v>0</v>
      </c>
      <c r="AC10" s="77">
        <v>0</v>
      </c>
      <c r="AD10" s="78">
        <v>0</v>
      </c>
      <c r="AE10" s="79">
        <v>0</v>
      </c>
      <c r="AF10" s="80">
        <v>0</v>
      </c>
      <c r="AG10" s="77">
        <v>0</v>
      </c>
      <c r="AH10" s="78">
        <v>0</v>
      </c>
      <c r="AI10" s="79">
        <v>0</v>
      </c>
      <c r="AJ10" s="80">
        <v>0</v>
      </c>
    </row>
    <row r="11" spans="2:72" ht="24">
      <c r="B11" s="52" t="s">
        <v>36</v>
      </c>
      <c r="C11" s="84">
        <v>3</v>
      </c>
      <c r="D11" s="85">
        <v>356</v>
      </c>
      <c r="E11" s="77" t="s">
        <v>121</v>
      </c>
      <c r="F11" s="78">
        <v>249</v>
      </c>
      <c r="G11" s="77" t="s">
        <v>122</v>
      </c>
      <c r="H11" s="78">
        <v>70</v>
      </c>
      <c r="I11" s="77" t="s">
        <v>123</v>
      </c>
      <c r="J11" s="78">
        <v>37</v>
      </c>
      <c r="K11" s="77">
        <v>0</v>
      </c>
      <c r="L11" s="78">
        <v>0</v>
      </c>
      <c r="M11" s="77">
        <v>0</v>
      </c>
      <c r="N11" s="78">
        <v>0</v>
      </c>
      <c r="O11" s="77">
        <v>0</v>
      </c>
      <c r="P11" s="78">
        <v>0</v>
      </c>
      <c r="Q11" s="77">
        <v>0</v>
      </c>
      <c r="R11" s="78">
        <v>0</v>
      </c>
      <c r="S11" s="77">
        <v>0</v>
      </c>
      <c r="T11" s="78">
        <v>0</v>
      </c>
      <c r="U11" s="77">
        <v>0</v>
      </c>
      <c r="V11" s="78">
        <v>0</v>
      </c>
      <c r="W11" s="77">
        <v>0</v>
      </c>
      <c r="X11" s="78">
        <v>0</v>
      </c>
      <c r="Y11" s="77">
        <v>0</v>
      </c>
      <c r="Z11" s="78">
        <v>0</v>
      </c>
      <c r="AA11" s="77">
        <v>0</v>
      </c>
      <c r="AB11" s="78">
        <v>0</v>
      </c>
      <c r="AC11" s="77">
        <v>0</v>
      </c>
      <c r="AD11" s="78">
        <v>0</v>
      </c>
      <c r="AE11" s="77">
        <v>0</v>
      </c>
      <c r="AF11" s="78">
        <v>0</v>
      </c>
      <c r="AG11" s="77">
        <v>0</v>
      </c>
      <c r="AH11" s="78">
        <v>0</v>
      </c>
      <c r="AI11" s="77">
        <v>0</v>
      </c>
      <c r="AJ11" s="78">
        <v>0</v>
      </c>
    </row>
    <row r="12" spans="2:72" ht="24">
      <c r="B12" s="81" t="s">
        <v>37</v>
      </c>
      <c r="C12" s="84">
        <v>2</v>
      </c>
      <c r="D12" s="85">
        <v>20</v>
      </c>
      <c r="E12" s="77" t="s">
        <v>420</v>
      </c>
      <c r="F12" s="78">
        <v>10</v>
      </c>
      <c r="G12" s="77" t="s">
        <v>421</v>
      </c>
      <c r="H12" s="78">
        <v>10</v>
      </c>
      <c r="I12" s="77">
        <v>0</v>
      </c>
      <c r="J12" s="78">
        <v>0</v>
      </c>
      <c r="K12" s="77">
        <v>0</v>
      </c>
      <c r="L12" s="78">
        <v>0</v>
      </c>
      <c r="M12" s="77">
        <v>0</v>
      </c>
      <c r="N12" s="78">
        <v>0</v>
      </c>
      <c r="O12" s="77">
        <v>0</v>
      </c>
      <c r="P12" s="78">
        <v>0</v>
      </c>
      <c r="Q12" s="77">
        <v>0</v>
      </c>
      <c r="R12" s="78">
        <v>0</v>
      </c>
      <c r="S12" s="77">
        <v>0</v>
      </c>
      <c r="T12" s="78">
        <v>0</v>
      </c>
      <c r="U12" s="77">
        <v>0</v>
      </c>
      <c r="V12" s="78">
        <v>0</v>
      </c>
      <c r="W12" s="77">
        <v>0</v>
      </c>
      <c r="X12" s="78">
        <v>0</v>
      </c>
      <c r="Y12" s="77">
        <v>0</v>
      </c>
      <c r="Z12" s="78">
        <v>0</v>
      </c>
      <c r="AA12" s="77">
        <v>0</v>
      </c>
      <c r="AB12" s="78">
        <v>0</v>
      </c>
      <c r="AC12" s="77">
        <v>0</v>
      </c>
      <c r="AD12" s="78">
        <v>0</v>
      </c>
      <c r="AE12" s="77">
        <v>0</v>
      </c>
      <c r="AF12" s="78">
        <v>0</v>
      </c>
      <c r="AG12" s="77">
        <v>0</v>
      </c>
      <c r="AH12" s="78">
        <v>0</v>
      </c>
      <c r="AI12" s="77">
        <v>0</v>
      </c>
      <c r="AJ12" s="78">
        <v>0</v>
      </c>
    </row>
    <row r="13" spans="2:72" ht="24">
      <c r="B13" s="52" t="s">
        <v>38</v>
      </c>
      <c r="C13" s="84">
        <v>1</v>
      </c>
      <c r="D13" s="85">
        <v>75</v>
      </c>
      <c r="E13" s="77" t="s">
        <v>124</v>
      </c>
      <c r="F13" s="78">
        <v>75</v>
      </c>
      <c r="G13" s="77">
        <v>0</v>
      </c>
      <c r="H13" s="78">
        <v>0</v>
      </c>
      <c r="I13" s="77">
        <v>0</v>
      </c>
      <c r="J13" s="78">
        <v>0</v>
      </c>
      <c r="K13" s="77">
        <v>0</v>
      </c>
      <c r="L13" s="78">
        <v>0</v>
      </c>
      <c r="M13" s="77">
        <v>0</v>
      </c>
      <c r="N13" s="78">
        <v>0</v>
      </c>
      <c r="O13" s="77">
        <v>0</v>
      </c>
      <c r="P13" s="78">
        <v>0</v>
      </c>
      <c r="Q13" s="77">
        <v>0</v>
      </c>
      <c r="R13" s="78">
        <v>0</v>
      </c>
      <c r="S13" s="77">
        <v>0</v>
      </c>
      <c r="T13" s="78">
        <v>0</v>
      </c>
      <c r="U13" s="77">
        <v>0</v>
      </c>
      <c r="V13" s="78">
        <v>0</v>
      </c>
      <c r="W13" s="77">
        <v>0</v>
      </c>
      <c r="X13" s="78">
        <v>0</v>
      </c>
      <c r="Y13" s="77">
        <v>0</v>
      </c>
      <c r="Z13" s="78">
        <v>0</v>
      </c>
      <c r="AA13" s="77">
        <v>0</v>
      </c>
      <c r="AB13" s="78">
        <v>0</v>
      </c>
      <c r="AC13" s="77">
        <v>0</v>
      </c>
      <c r="AD13" s="78">
        <v>0</v>
      </c>
      <c r="AE13" s="77">
        <v>0</v>
      </c>
      <c r="AF13" s="78">
        <v>0</v>
      </c>
      <c r="AG13" s="77">
        <v>0</v>
      </c>
      <c r="AH13" s="78">
        <v>0</v>
      </c>
      <c r="AI13" s="77">
        <v>0</v>
      </c>
      <c r="AJ13" s="78">
        <v>0</v>
      </c>
    </row>
    <row r="14" spans="2:72" ht="24">
      <c r="B14" s="52" t="s">
        <v>39</v>
      </c>
      <c r="C14" s="84">
        <v>4</v>
      </c>
      <c r="D14" s="85">
        <v>628</v>
      </c>
      <c r="E14" s="77" t="s">
        <v>125</v>
      </c>
      <c r="F14" s="78">
        <v>432</v>
      </c>
      <c r="G14" s="77" t="s">
        <v>126</v>
      </c>
      <c r="H14" s="78">
        <v>71</v>
      </c>
      <c r="I14" s="77" t="s">
        <v>127</v>
      </c>
      <c r="J14" s="78">
        <v>60</v>
      </c>
      <c r="K14" s="77" t="s">
        <v>128</v>
      </c>
      <c r="L14" s="78">
        <v>65</v>
      </c>
      <c r="M14" s="77">
        <v>0</v>
      </c>
      <c r="N14" s="78">
        <v>0</v>
      </c>
      <c r="O14" s="77">
        <v>0</v>
      </c>
      <c r="P14" s="78">
        <v>0</v>
      </c>
      <c r="Q14" s="77">
        <v>0</v>
      </c>
      <c r="R14" s="78">
        <v>0</v>
      </c>
      <c r="S14" s="77">
        <v>0</v>
      </c>
      <c r="T14" s="78">
        <v>0</v>
      </c>
      <c r="U14" s="77">
        <v>0</v>
      </c>
      <c r="V14" s="78">
        <v>0</v>
      </c>
      <c r="W14" s="77">
        <v>0</v>
      </c>
      <c r="X14" s="78">
        <v>0</v>
      </c>
      <c r="Y14" s="77">
        <v>0</v>
      </c>
      <c r="Z14" s="78">
        <v>0</v>
      </c>
      <c r="AA14" s="77">
        <v>0</v>
      </c>
      <c r="AB14" s="78">
        <v>0</v>
      </c>
      <c r="AC14" s="77">
        <v>0</v>
      </c>
      <c r="AD14" s="78">
        <v>0</v>
      </c>
      <c r="AE14" s="77">
        <v>0</v>
      </c>
      <c r="AF14" s="78">
        <v>0</v>
      </c>
      <c r="AG14" s="77">
        <v>0</v>
      </c>
      <c r="AH14" s="78">
        <v>0</v>
      </c>
      <c r="AI14" s="77">
        <v>0</v>
      </c>
      <c r="AJ14" s="78">
        <v>0</v>
      </c>
    </row>
    <row r="15" spans="2:72" ht="24">
      <c r="B15" s="52" t="s">
        <v>40</v>
      </c>
      <c r="C15" s="84">
        <v>2</v>
      </c>
      <c r="D15" s="85">
        <v>203</v>
      </c>
      <c r="E15" s="77" t="s">
        <v>129</v>
      </c>
      <c r="F15" s="78">
        <v>41</v>
      </c>
      <c r="G15" s="77" t="s">
        <v>130</v>
      </c>
      <c r="H15" s="78">
        <v>162</v>
      </c>
      <c r="I15" s="77">
        <v>0</v>
      </c>
      <c r="J15" s="78">
        <v>0</v>
      </c>
      <c r="K15" s="77">
        <v>0</v>
      </c>
      <c r="L15" s="78">
        <v>0</v>
      </c>
      <c r="M15" s="77">
        <v>0</v>
      </c>
      <c r="N15" s="78">
        <v>0</v>
      </c>
      <c r="O15" s="77">
        <v>0</v>
      </c>
      <c r="P15" s="78">
        <v>0</v>
      </c>
      <c r="Q15" s="77">
        <v>0</v>
      </c>
      <c r="R15" s="78">
        <v>0</v>
      </c>
      <c r="S15" s="77">
        <v>0</v>
      </c>
      <c r="T15" s="78">
        <v>0</v>
      </c>
      <c r="U15" s="77">
        <v>0</v>
      </c>
      <c r="V15" s="78">
        <v>0</v>
      </c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>
        <v>0</v>
      </c>
      <c r="AC15" s="77">
        <v>0</v>
      </c>
      <c r="AD15" s="78">
        <v>0</v>
      </c>
      <c r="AE15" s="77">
        <v>0</v>
      </c>
      <c r="AF15" s="78">
        <v>0</v>
      </c>
      <c r="AG15" s="77">
        <v>0</v>
      </c>
      <c r="AH15" s="78">
        <v>0</v>
      </c>
      <c r="AI15" s="77">
        <v>0</v>
      </c>
      <c r="AJ15" s="78">
        <v>0</v>
      </c>
    </row>
    <row r="16" spans="2:72" ht="24">
      <c r="B16" s="52" t="s">
        <v>41</v>
      </c>
      <c r="C16" s="84">
        <v>1</v>
      </c>
      <c r="D16" s="85">
        <v>120</v>
      </c>
      <c r="E16" s="77" t="s">
        <v>131</v>
      </c>
      <c r="F16" s="78">
        <v>120</v>
      </c>
      <c r="G16" s="77">
        <v>0</v>
      </c>
      <c r="H16" s="78">
        <v>0</v>
      </c>
      <c r="I16" s="77">
        <v>0</v>
      </c>
      <c r="J16" s="78">
        <v>0</v>
      </c>
      <c r="K16" s="77">
        <v>0</v>
      </c>
      <c r="L16" s="78">
        <v>0</v>
      </c>
      <c r="M16" s="77">
        <v>0</v>
      </c>
      <c r="N16" s="78">
        <v>0</v>
      </c>
      <c r="O16" s="77">
        <v>0</v>
      </c>
      <c r="P16" s="78">
        <v>0</v>
      </c>
      <c r="Q16" s="77">
        <v>0</v>
      </c>
      <c r="R16" s="78">
        <v>0</v>
      </c>
      <c r="S16" s="77">
        <v>0</v>
      </c>
      <c r="T16" s="78">
        <v>0</v>
      </c>
      <c r="U16" s="77">
        <v>0</v>
      </c>
      <c r="V16" s="78">
        <v>0</v>
      </c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7">
        <v>0</v>
      </c>
      <c r="AD16" s="78">
        <v>0</v>
      </c>
      <c r="AE16" s="77">
        <v>0</v>
      </c>
      <c r="AF16" s="78">
        <v>0</v>
      </c>
      <c r="AG16" s="77">
        <v>0</v>
      </c>
      <c r="AH16" s="78">
        <v>0</v>
      </c>
      <c r="AI16" s="77">
        <v>0</v>
      </c>
      <c r="AJ16" s="78">
        <v>0</v>
      </c>
    </row>
    <row r="17" spans="2:36" ht="24">
      <c r="B17" s="52" t="s">
        <v>42</v>
      </c>
      <c r="C17" s="84">
        <v>6</v>
      </c>
      <c r="D17" s="85">
        <v>431</v>
      </c>
      <c r="E17" s="77" t="s">
        <v>132</v>
      </c>
      <c r="F17" s="78">
        <v>68</v>
      </c>
      <c r="G17" s="77" t="s">
        <v>133</v>
      </c>
      <c r="H17" s="78">
        <v>39</v>
      </c>
      <c r="I17" s="77" t="s">
        <v>134</v>
      </c>
      <c r="J17" s="78">
        <v>45</v>
      </c>
      <c r="K17" s="77" t="s">
        <v>135</v>
      </c>
      <c r="L17" s="78">
        <v>118</v>
      </c>
      <c r="M17" s="77" t="s">
        <v>136</v>
      </c>
      <c r="N17" s="78">
        <v>62</v>
      </c>
      <c r="O17" s="77" t="s">
        <v>137</v>
      </c>
      <c r="P17" s="78">
        <v>99</v>
      </c>
      <c r="Q17" s="77">
        <v>0</v>
      </c>
      <c r="R17" s="78">
        <v>0</v>
      </c>
      <c r="S17" s="77">
        <v>0</v>
      </c>
      <c r="T17" s="78">
        <v>0</v>
      </c>
      <c r="U17" s="77">
        <v>0</v>
      </c>
      <c r="V17" s="78">
        <v>0</v>
      </c>
      <c r="W17" s="77">
        <v>0</v>
      </c>
      <c r="X17" s="78">
        <v>0</v>
      </c>
      <c r="Y17" s="77">
        <v>0</v>
      </c>
      <c r="Z17" s="78">
        <v>0</v>
      </c>
      <c r="AA17" s="77">
        <v>0</v>
      </c>
      <c r="AB17" s="78">
        <v>0</v>
      </c>
      <c r="AC17" s="77">
        <v>0</v>
      </c>
      <c r="AD17" s="78">
        <v>0</v>
      </c>
      <c r="AE17" s="77">
        <v>0</v>
      </c>
      <c r="AF17" s="78">
        <v>0</v>
      </c>
      <c r="AG17" s="77">
        <v>0</v>
      </c>
      <c r="AH17" s="78">
        <v>0</v>
      </c>
      <c r="AI17" s="77">
        <v>0</v>
      </c>
      <c r="AJ17" s="78">
        <v>0</v>
      </c>
    </row>
    <row r="18" spans="2:36" ht="24">
      <c r="B18" s="52" t="s">
        <v>43</v>
      </c>
      <c r="C18" s="84">
        <v>6</v>
      </c>
      <c r="D18" s="85">
        <v>705</v>
      </c>
      <c r="E18" s="77" t="s">
        <v>138</v>
      </c>
      <c r="F18" s="78">
        <v>30</v>
      </c>
      <c r="G18" s="77" t="s">
        <v>139</v>
      </c>
      <c r="H18" s="78">
        <v>30</v>
      </c>
      <c r="I18" s="77" t="s">
        <v>140</v>
      </c>
      <c r="J18" s="78">
        <v>35</v>
      </c>
      <c r="K18" s="77" t="s">
        <v>141</v>
      </c>
      <c r="L18" s="78">
        <v>500</v>
      </c>
      <c r="M18" s="77" t="s">
        <v>142</v>
      </c>
      <c r="N18" s="78">
        <v>70</v>
      </c>
      <c r="O18" s="77" t="s">
        <v>143</v>
      </c>
      <c r="P18" s="78">
        <v>40</v>
      </c>
      <c r="Q18" s="77">
        <v>0</v>
      </c>
      <c r="R18" s="78">
        <v>0</v>
      </c>
      <c r="S18" s="77">
        <v>0</v>
      </c>
      <c r="T18" s="78">
        <v>0</v>
      </c>
      <c r="U18" s="77">
        <v>0</v>
      </c>
      <c r="V18" s="78">
        <v>0</v>
      </c>
      <c r="W18" s="77">
        <v>0</v>
      </c>
      <c r="X18" s="78">
        <v>0</v>
      </c>
      <c r="Y18" s="77">
        <v>0</v>
      </c>
      <c r="Z18" s="78">
        <v>0</v>
      </c>
      <c r="AA18" s="77">
        <v>0</v>
      </c>
      <c r="AB18" s="78">
        <v>0</v>
      </c>
      <c r="AC18" s="77">
        <v>0</v>
      </c>
      <c r="AD18" s="78">
        <v>0</v>
      </c>
      <c r="AE18" s="77">
        <v>0</v>
      </c>
      <c r="AF18" s="78">
        <v>0</v>
      </c>
      <c r="AG18" s="77">
        <v>0</v>
      </c>
      <c r="AH18" s="78">
        <v>0</v>
      </c>
      <c r="AI18" s="77">
        <v>0</v>
      </c>
      <c r="AJ18" s="78">
        <v>0</v>
      </c>
    </row>
    <row r="19" spans="2:36" ht="24">
      <c r="B19" s="52" t="s">
        <v>44</v>
      </c>
      <c r="C19" s="84">
        <v>4</v>
      </c>
      <c r="D19" s="85">
        <v>609</v>
      </c>
      <c r="E19" s="77" t="s">
        <v>144</v>
      </c>
      <c r="F19" s="78">
        <v>125</v>
      </c>
      <c r="G19" s="77" t="s">
        <v>145</v>
      </c>
      <c r="H19" s="78">
        <v>240</v>
      </c>
      <c r="I19" s="77" t="s">
        <v>146</v>
      </c>
      <c r="J19" s="78">
        <v>214</v>
      </c>
      <c r="K19" s="77" t="s">
        <v>147</v>
      </c>
      <c r="L19" s="78">
        <v>30</v>
      </c>
      <c r="M19" s="77">
        <v>0</v>
      </c>
      <c r="N19" s="78">
        <v>0</v>
      </c>
      <c r="O19" s="77">
        <v>0</v>
      </c>
      <c r="P19" s="78">
        <v>0</v>
      </c>
      <c r="Q19" s="77">
        <v>0</v>
      </c>
      <c r="R19" s="78">
        <v>0</v>
      </c>
      <c r="S19" s="77">
        <v>0</v>
      </c>
      <c r="T19" s="78">
        <v>0</v>
      </c>
      <c r="U19" s="77">
        <v>0</v>
      </c>
      <c r="V19" s="78">
        <v>0</v>
      </c>
      <c r="W19" s="77">
        <v>0</v>
      </c>
      <c r="X19" s="78">
        <v>0</v>
      </c>
      <c r="Y19" s="77">
        <v>0</v>
      </c>
      <c r="Z19" s="78">
        <v>0</v>
      </c>
      <c r="AA19" s="77">
        <v>0</v>
      </c>
      <c r="AB19" s="78">
        <v>0</v>
      </c>
      <c r="AC19" s="77">
        <v>0</v>
      </c>
      <c r="AD19" s="78">
        <v>0</v>
      </c>
      <c r="AE19" s="77">
        <v>0</v>
      </c>
      <c r="AF19" s="78">
        <v>0</v>
      </c>
      <c r="AG19" s="77">
        <v>0</v>
      </c>
      <c r="AH19" s="78">
        <v>0</v>
      </c>
      <c r="AI19" s="77">
        <v>0</v>
      </c>
      <c r="AJ19" s="78">
        <v>0</v>
      </c>
    </row>
    <row r="20" spans="2:36" ht="24">
      <c r="B20" s="52" t="s">
        <v>45</v>
      </c>
      <c r="C20" s="84">
        <v>13</v>
      </c>
      <c r="D20" s="85">
        <v>1234</v>
      </c>
      <c r="E20" s="77" t="s">
        <v>148</v>
      </c>
      <c r="F20" s="78">
        <v>45</v>
      </c>
      <c r="G20" s="77" t="s">
        <v>149</v>
      </c>
      <c r="H20" s="78">
        <v>300</v>
      </c>
      <c r="I20" s="77" t="s">
        <v>150</v>
      </c>
      <c r="J20" s="78">
        <v>100</v>
      </c>
      <c r="K20" s="77" t="s">
        <v>151</v>
      </c>
      <c r="L20" s="78">
        <v>36</v>
      </c>
      <c r="M20" s="77" t="s">
        <v>152</v>
      </c>
      <c r="N20" s="78">
        <v>170</v>
      </c>
      <c r="O20" s="77" t="s">
        <v>153</v>
      </c>
      <c r="P20" s="78">
        <v>85</v>
      </c>
      <c r="Q20" s="77" t="s">
        <v>154</v>
      </c>
      <c r="R20" s="78">
        <v>100</v>
      </c>
      <c r="S20" s="77" t="s">
        <v>155</v>
      </c>
      <c r="T20" s="78">
        <v>150</v>
      </c>
      <c r="U20" s="77" t="s">
        <v>156</v>
      </c>
      <c r="V20" s="78">
        <v>38</v>
      </c>
      <c r="W20" s="77" t="s">
        <v>157</v>
      </c>
      <c r="X20" s="78">
        <v>70</v>
      </c>
      <c r="Y20" s="77" t="s">
        <v>158</v>
      </c>
      <c r="Z20" s="78">
        <v>45</v>
      </c>
      <c r="AA20" s="77" t="s">
        <v>159</v>
      </c>
      <c r="AB20" s="78">
        <v>60</v>
      </c>
      <c r="AC20" s="77" t="s">
        <v>160</v>
      </c>
      <c r="AD20" s="78">
        <v>35</v>
      </c>
      <c r="AE20" s="77">
        <v>0</v>
      </c>
      <c r="AF20" s="78">
        <v>0</v>
      </c>
      <c r="AG20" s="77">
        <v>0</v>
      </c>
      <c r="AH20" s="78">
        <v>0</v>
      </c>
      <c r="AI20" s="77">
        <v>0</v>
      </c>
      <c r="AJ20" s="78">
        <v>0</v>
      </c>
    </row>
    <row r="21" spans="2:36" ht="24">
      <c r="B21" s="52" t="s">
        <v>46</v>
      </c>
      <c r="C21" s="84">
        <v>3</v>
      </c>
      <c r="D21" s="85">
        <v>205</v>
      </c>
      <c r="E21" s="77" t="s">
        <v>161</v>
      </c>
      <c r="F21" s="78">
        <v>80</v>
      </c>
      <c r="G21" s="77" t="s">
        <v>162</v>
      </c>
      <c r="H21" s="78">
        <v>60</v>
      </c>
      <c r="I21" s="77" t="s">
        <v>163</v>
      </c>
      <c r="J21" s="78">
        <v>65</v>
      </c>
      <c r="K21" s="77">
        <v>0</v>
      </c>
      <c r="L21" s="78">
        <v>0</v>
      </c>
      <c r="M21" s="77">
        <v>0</v>
      </c>
      <c r="N21" s="78">
        <v>0</v>
      </c>
      <c r="O21" s="77">
        <v>0</v>
      </c>
      <c r="P21" s="78">
        <v>0</v>
      </c>
      <c r="Q21" s="77">
        <v>0</v>
      </c>
      <c r="R21" s="78">
        <v>0</v>
      </c>
      <c r="S21" s="77">
        <v>0</v>
      </c>
      <c r="T21" s="78">
        <v>0</v>
      </c>
      <c r="U21" s="77">
        <v>0</v>
      </c>
      <c r="V21" s="78">
        <v>0</v>
      </c>
      <c r="W21" s="77">
        <v>0</v>
      </c>
      <c r="X21" s="78">
        <v>0</v>
      </c>
      <c r="Y21" s="77">
        <v>0</v>
      </c>
      <c r="Z21" s="78">
        <v>0</v>
      </c>
      <c r="AA21" s="77">
        <v>0</v>
      </c>
      <c r="AB21" s="78">
        <v>0</v>
      </c>
      <c r="AC21" s="77">
        <v>0</v>
      </c>
      <c r="AD21" s="78">
        <v>0</v>
      </c>
      <c r="AE21" s="77">
        <v>0</v>
      </c>
      <c r="AF21" s="78">
        <v>0</v>
      </c>
      <c r="AG21" s="77">
        <v>0</v>
      </c>
      <c r="AH21" s="78">
        <v>0</v>
      </c>
      <c r="AI21" s="77">
        <v>0</v>
      </c>
      <c r="AJ21" s="78">
        <v>0</v>
      </c>
    </row>
    <row r="22" spans="2:36" ht="24">
      <c r="B22" s="52" t="s">
        <v>47</v>
      </c>
      <c r="C22" s="84">
        <v>3</v>
      </c>
      <c r="D22" s="85">
        <v>246</v>
      </c>
      <c r="E22" s="77" t="s">
        <v>164</v>
      </c>
      <c r="F22" s="78">
        <v>68</v>
      </c>
      <c r="G22" s="77" t="s">
        <v>165</v>
      </c>
      <c r="H22" s="78"/>
      <c r="I22" s="77" t="s">
        <v>166</v>
      </c>
      <c r="J22" s="78">
        <v>80</v>
      </c>
      <c r="K22" s="77">
        <v>0</v>
      </c>
      <c r="L22" s="78">
        <v>0</v>
      </c>
      <c r="M22" s="77">
        <v>0</v>
      </c>
      <c r="N22" s="78">
        <v>0</v>
      </c>
      <c r="O22" s="77">
        <v>0</v>
      </c>
      <c r="P22" s="78">
        <v>0</v>
      </c>
      <c r="Q22" s="77">
        <v>0</v>
      </c>
      <c r="R22" s="78">
        <v>0</v>
      </c>
      <c r="S22" s="77">
        <v>0</v>
      </c>
      <c r="T22" s="78">
        <v>0</v>
      </c>
      <c r="U22" s="77">
        <v>0</v>
      </c>
      <c r="V22" s="78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7">
        <v>0</v>
      </c>
      <c r="AD22" s="78">
        <v>0</v>
      </c>
      <c r="AE22" s="77">
        <v>0</v>
      </c>
      <c r="AF22" s="78">
        <v>0</v>
      </c>
      <c r="AG22" s="77">
        <v>0</v>
      </c>
      <c r="AH22" s="78">
        <v>0</v>
      </c>
      <c r="AI22" s="77">
        <v>0</v>
      </c>
      <c r="AJ22" s="78">
        <v>0</v>
      </c>
    </row>
    <row r="23" spans="2:36" ht="24">
      <c r="B23" s="52" t="s">
        <v>49</v>
      </c>
      <c r="C23" s="84">
        <v>5</v>
      </c>
      <c r="D23" s="85">
        <v>490</v>
      </c>
      <c r="E23" s="77" t="s">
        <v>167</v>
      </c>
      <c r="F23" s="78">
        <v>129</v>
      </c>
      <c r="G23" s="77" t="s">
        <v>168</v>
      </c>
      <c r="H23" s="78">
        <v>63</v>
      </c>
      <c r="I23" s="77" t="s">
        <v>169</v>
      </c>
      <c r="J23" s="78">
        <v>67</v>
      </c>
      <c r="K23" s="77" t="s">
        <v>170</v>
      </c>
      <c r="L23" s="78">
        <v>65</v>
      </c>
      <c r="M23" s="77" t="s">
        <v>171</v>
      </c>
      <c r="N23" s="78">
        <v>166</v>
      </c>
      <c r="O23" s="77">
        <v>0</v>
      </c>
      <c r="P23" s="78">
        <v>0</v>
      </c>
      <c r="Q23" s="77">
        <v>0</v>
      </c>
      <c r="R23" s="78">
        <v>0</v>
      </c>
      <c r="S23" s="77">
        <v>0</v>
      </c>
      <c r="T23" s="78">
        <v>0</v>
      </c>
      <c r="U23" s="77">
        <v>0</v>
      </c>
      <c r="V23" s="78">
        <v>0</v>
      </c>
      <c r="W23" s="77">
        <v>0</v>
      </c>
      <c r="X23" s="78">
        <v>0</v>
      </c>
      <c r="Y23" s="77">
        <v>0</v>
      </c>
      <c r="Z23" s="78">
        <v>0</v>
      </c>
      <c r="AA23" s="77">
        <v>0</v>
      </c>
      <c r="AB23" s="78">
        <v>0</v>
      </c>
      <c r="AC23" s="77">
        <v>0</v>
      </c>
      <c r="AD23" s="78">
        <v>0</v>
      </c>
      <c r="AE23" s="77">
        <v>0</v>
      </c>
      <c r="AF23" s="78">
        <v>0</v>
      </c>
      <c r="AG23" s="77">
        <v>0</v>
      </c>
      <c r="AH23" s="78">
        <v>0</v>
      </c>
      <c r="AI23" s="77">
        <v>0</v>
      </c>
      <c r="AJ23" s="78">
        <v>0</v>
      </c>
    </row>
    <row r="24" spans="2:36" ht="24">
      <c r="B24" s="81" t="s">
        <v>48</v>
      </c>
      <c r="C24" s="84">
        <v>0</v>
      </c>
      <c r="D24" s="85">
        <v>0</v>
      </c>
      <c r="E24" s="77"/>
      <c r="F24" s="78"/>
      <c r="G24" s="77"/>
      <c r="H24" s="78"/>
      <c r="I24" s="77"/>
      <c r="J24" s="78"/>
      <c r="K24" s="77"/>
      <c r="L24" s="78"/>
      <c r="M24" s="77"/>
      <c r="N24" s="78"/>
      <c r="O24" s="77"/>
      <c r="P24" s="7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77"/>
      <c r="AJ24" s="78"/>
    </row>
    <row r="25" spans="2:36" ht="24">
      <c r="B25" s="52" t="s">
        <v>73</v>
      </c>
      <c r="C25" s="84">
        <v>12</v>
      </c>
      <c r="D25" s="85">
        <v>716</v>
      </c>
      <c r="E25" s="77" t="s">
        <v>172</v>
      </c>
      <c r="F25" s="78">
        <v>70</v>
      </c>
      <c r="G25" s="77" t="s">
        <v>173</v>
      </c>
      <c r="H25" s="78">
        <v>100</v>
      </c>
      <c r="I25" s="77" t="s">
        <v>174</v>
      </c>
      <c r="J25" s="78">
        <v>30</v>
      </c>
      <c r="K25" s="77" t="s">
        <v>175</v>
      </c>
      <c r="L25" s="78">
        <v>50</v>
      </c>
      <c r="M25" s="77" t="s">
        <v>176</v>
      </c>
      <c r="N25" s="78">
        <v>30</v>
      </c>
      <c r="O25" s="77" t="s">
        <v>177</v>
      </c>
      <c r="P25" s="78">
        <v>26</v>
      </c>
      <c r="Q25" s="77" t="s">
        <v>178</v>
      </c>
      <c r="R25" s="78">
        <v>23</v>
      </c>
      <c r="S25" s="77" t="s">
        <v>179</v>
      </c>
      <c r="T25" s="78">
        <v>22</v>
      </c>
      <c r="U25" s="77" t="s">
        <v>180</v>
      </c>
      <c r="V25" s="78">
        <v>21</v>
      </c>
      <c r="W25" s="77" t="s">
        <v>181</v>
      </c>
      <c r="X25" s="78">
        <v>23</v>
      </c>
      <c r="Y25" s="77" t="s">
        <v>182</v>
      </c>
      <c r="Z25" s="78">
        <v>21</v>
      </c>
      <c r="AA25" s="77" t="s">
        <v>183</v>
      </c>
      <c r="AB25" s="78">
        <v>300</v>
      </c>
      <c r="AC25" s="77">
        <v>0</v>
      </c>
      <c r="AD25" s="78">
        <v>0</v>
      </c>
      <c r="AE25" s="77">
        <v>0</v>
      </c>
      <c r="AF25" s="78">
        <v>0</v>
      </c>
      <c r="AG25" s="77">
        <v>0</v>
      </c>
      <c r="AH25" s="78">
        <v>0</v>
      </c>
      <c r="AI25" s="77">
        <v>0</v>
      </c>
      <c r="AJ25" s="78">
        <v>0</v>
      </c>
    </row>
    <row r="26" spans="2:36" ht="24">
      <c r="B26" s="52" t="s">
        <v>72</v>
      </c>
      <c r="C26" s="84">
        <v>14</v>
      </c>
      <c r="D26" s="85">
        <v>713</v>
      </c>
      <c r="E26" s="77" t="s">
        <v>184</v>
      </c>
      <c r="F26" s="78">
        <v>20</v>
      </c>
      <c r="G26" s="77" t="s">
        <v>185</v>
      </c>
      <c r="H26" s="78">
        <v>33</v>
      </c>
      <c r="I26" s="77" t="s">
        <v>186</v>
      </c>
      <c r="J26" s="78">
        <v>40</v>
      </c>
      <c r="K26" s="77" t="s">
        <v>187</v>
      </c>
      <c r="L26" s="78">
        <v>32</v>
      </c>
      <c r="M26" s="77" t="s">
        <v>188</v>
      </c>
      <c r="N26" s="78">
        <v>34</v>
      </c>
      <c r="O26" s="77" t="s">
        <v>189</v>
      </c>
      <c r="P26" s="78">
        <v>37</v>
      </c>
      <c r="Q26" s="77" t="s">
        <v>190</v>
      </c>
      <c r="R26" s="78">
        <v>75</v>
      </c>
      <c r="S26" s="77" t="s">
        <v>191</v>
      </c>
      <c r="T26" s="78">
        <v>35</v>
      </c>
      <c r="U26" s="77" t="s">
        <v>192</v>
      </c>
      <c r="V26" s="78">
        <v>37</v>
      </c>
      <c r="W26" s="77" t="s">
        <v>193</v>
      </c>
      <c r="X26" s="78">
        <v>30</v>
      </c>
      <c r="Y26" s="77" t="s">
        <v>194</v>
      </c>
      <c r="Z26" s="78">
        <v>75</v>
      </c>
      <c r="AA26" s="77" t="s">
        <v>195</v>
      </c>
      <c r="AB26" s="78">
        <v>42</v>
      </c>
      <c r="AC26" s="77" t="s">
        <v>196</v>
      </c>
      <c r="AD26" s="78">
        <v>193</v>
      </c>
      <c r="AE26" s="77" t="s">
        <v>197</v>
      </c>
      <c r="AF26" s="78">
        <v>30</v>
      </c>
      <c r="AG26" s="77">
        <v>0</v>
      </c>
      <c r="AH26" s="78">
        <v>0</v>
      </c>
      <c r="AI26" s="77">
        <v>0</v>
      </c>
      <c r="AJ26" s="78">
        <v>0</v>
      </c>
    </row>
    <row r="27" spans="2:36" ht="24">
      <c r="B27" s="52" t="s">
        <v>71</v>
      </c>
      <c r="C27" s="84">
        <v>1</v>
      </c>
      <c r="D27" s="85">
        <v>54</v>
      </c>
      <c r="E27" s="77" t="s">
        <v>198</v>
      </c>
      <c r="F27" s="78">
        <v>54</v>
      </c>
      <c r="G27" s="77">
        <v>0</v>
      </c>
      <c r="H27" s="78">
        <v>0</v>
      </c>
      <c r="I27" s="77">
        <v>0</v>
      </c>
      <c r="J27" s="78">
        <v>0</v>
      </c>
      <c r="K27" s="77">
        <v>0</v>
      </c>
      <c r="L27" s="78">
        <v>0</v>
      </c>
      <c r="M27" s="77">
        <v>0</v>
      </c>
      <c r="N27" s="78">
        <v>0</v>
      </c>
      <c r="O27" s="77">
        <v>0</v>
      </c>
      <c r="P27" s="78">
        <v>0</v>
      </c>
      <c r="Q27" s="77">
        <v>0</v>
      </c>
      <c r="R27" s="78">
        <v>0</v>
      </c>
      <c r="S27" s="77">
        <v>0</v>
      </c>
      <c r="T27" s="78">
        <v>0</v>
      </c>
      <c r="U27" s="77">
        <v>0</v>
      </c>
      <c r="V27" s="78">
        <v>0</v>
      </c>
      <c r="W27" s="77">
        <v>0</v>
      </c>
      <c r="X27" s="78">
        <v>0</v>
      </c>
      <c r="Y27" s="77">
        <v>0</v>
      </c>
      <c r="Z27" s="78">
        <v>0</v>
      </c>
      <c r="AA27" s="77">
        <v>0</v>
      </c>
      <c r="AB27" s="78">
        <v>0</v>
      </c>
      <c r="AC27" s="77">
        <v>0</v>
      </c>
      <c r="AD27" s="78">
        <v>0</v>
      </c>
      <c r="AE27" s="77">
        <v>0</v>
      </c>
      <c r="AF27" s="78">
        <v>0</v>
      </c>
      <c r="AG27" s="77">
        <v>0</v>
      </c>
      <c r="AH27" s="78">
        <v>0</v>
      </c>
      <c r="AI27" s="77">
        <v>0</v>
      </c>
      <c r="AJ27" s="78">
        <v>0</v>
      </c>
    </row>
    <row r="28" spans="2:36" ht="24">
      <c r="B28" s="52" t="s">
        <v>70</v>
      </c>
      <c r="C28" s="84">
        <v>12</v>
      </c>
      <c r="D28" s="85">
        <v>1336</v>
      </c>
      <c r="E28" s="77" t="s">
        <v>199</v>
      </c>
      <c r="F28" s="78">
        <v>87</v>
      </c>
      <c r="G28" s="77" t="s">
        <v>200</v>
      </c>
      <c r="H28" s="78">
        <v>40</v>
      </c>
      <c r="I28" s="77" t="s">
        <v>201</v>
      </c>
      <c r="J28" s="78">
        <v>61</v>
      </c>
      <c r="K28" s="77" t="s">
        <v>202</v>
      </c>
      <c r="L28" s="78">
        <v>148</v>
      </c>
      <c r="M28" s="77" t="s">
        <v>203</v>
      </c>
      <c r="N28" s="78">
        <v>124</v>
      </c>
      <c r="O28" s="77" t="s">
        <v>204</v>
      </c>
      <c r="P28" s="78">
        <v>212</v>
      </c>
      <c r="Q28" s="77" t="s">
        <v>205</v>
      </c>
      <c r="R28" s="78">
        <v>41</v>
      </c>
      <c r="S28" s="77" t="s">
        <v>206</v>
      </c>
      <c r="T28" s="78">
        <v>148</v>
      </c>
      <c r="U28" s="77" t="s">
        <v>207</v>
      </c>
      <c r="V28" s="78">
        <v>57</v>
      </c>
      <c r="W28" s="77" t="s">
        <v>208</v>
      </c>
      <c r="X28" s="78">
        <v>169</v>
      </c>
      <c r="Y28" s="77" t="s">
        <v>209</v>
      </c>
      <c r="Z28" s="78">
        <v>140</v>
      </c>
      <c r="AA28" s="77" t="s">
        <v>210</v>
      </c>
      <c r="AB28" s="78">
        <v>109</v>
      </c>
      <c r="AC28" s="77">
        <v>0</v>
      </c>
      <c r="AD28" s="78">
        <v>0</v>
      </c>
      <c r="AE28" s="77">
        <v>0</v>
      </c>
      <c r="AF28" s="78">
        <v>0</v>
      </c>
      <c r="AG28" s="77">
        <v>0</v>
      </c>
      <c r="AH28" s="78">
        <v>0</v>
      </c>
      <c r="AI28" s="77">
        <v>0</v>
      </c>
      <c r="AJ28" s="78">
        <v>0</v>
      </c>
    </row>
    <row r="29" spans="2:36" ht="24">
      <c r="B29" s="52" t="s">
        <v>69</v>
      </c>
      <c r="C29" s="84">
        <v>33</v>
      </c>
      <c r="D29" s="85">
        <v>2475</v>
      </c>
      <c r="E29" s="77" t="s">
        <v>103</v>
      </c>
      <c r="F29" s="78"/>
      <c r="G29" s="77"/>
      <c r="H29" s="78"/>
      <c r="I29" s="77"/>
      <c r="J29" s="78"/>
      <c r="K29" s="77"/>
      <c r="L29" s="78"/>
      <c r="M29" s="77"/>
      <c r="N29" s="78"/>
      <c r="O29" s="77"/>
      <c r="P29" s="78"/>
      <c r="Q29" s="77"/>
      <c r="R29" s="78"/>
      <c r="S29" s="77"/>
      <c r="T29" s="78"/>
      <c r="U29" s="77"/>
      <c r="V29" s="78"/>
      <c r="W29" s="77"/>
      <c r="X29" s="78"/>
      <c r="Y29" s="77"/>
      <c r="Z29" s="78"/>
      <c r="AA29" s="77"/>
      <c r="AB29" s="78"/>
      <c r="AC29" s="77"/>
      <c r="AD29" s="78"/>
      <c r="AE29" s="77"/>
      <c r="AF29" s="78"/>
      <c r="AG29" s="77"/>
      <c r="AH29" s="78"/>
      <c r="AI29" s="77"/>
      <c r="AJ29" s="78"/>
    </row>
    <row r="30" spans="2:36" ht="24">
      <c r="B30" s="52" t="s">
        <v>68</v>
      </c>
      <c r="C30" s="84">
        <v>11</v>
      </c>
      <c r="D30" s="85">
        <v>1168</v>
      </c>
      <c r="E30" s="77" t="s">
        <v>211</v>
      </c>
      <c r="F30" s="78">
        <v>192</v>
      </c>
      <c r="G30" s="77" t="s">
        <v>212</v>
      </c>
      <c r="H30" s="78">
        <v>98</v>
      </c>
      <c r="I30" s="77" t="s">
        <v>213</v>
      </c>
      <c r="J30" s="78">
        <v>69</v>
      </c>
      <c r="K30" s="77" t="s">
        <v>214</v>
      </c>
      <c r="L30" s="78">
        <v>103</v>
      </c>
      <c r="M30" s="77" t="s">
        <v>215</v>
      </c>
      <c r="N30" s="78">
        <v>46</v>
      </c>
      <c r="O30" s="77" t="s">
        <v>216</v>
      </c>
      <c r="P30" s="78">
        <v>116</v>
      </c>
      <c r="Q30" s="77" t="s">
        <v>217</v>
      </c>
      <c r="R30" s="78">
        <v>200</v>
      </c>
      <c r="S30" s="77" t="s">
        <v>218</v>
      </c>
      <c r="T30" s="78">
        <v>59</v>
      </c>
      <c r="U30" s="77" t="s">
        <v>219</v>
      </c>
      <c r="V30" s="78">
        <v>142</v>
      </c>
      <c r="W30" s="77" t="s">
        <v>220</v>
      </c>
      <c r="X30" s="78">
        <v>80</v>
      </c>
      <c r="Y30" s="77" t="s">
        <v>221</v>
      </c>
      <c r="Z30" s="78">
        <v>63</v>
      </c>
      <c r="AA30" s="77">
        <v>0</v>
      </c>
      <c r="AB30" s="78">
        <v>0</v>
      </c>
      <c r="AC30" s="77">
        <v>0</v>
      </c>
      <c r="AD30" s="78">
        <v>0</v>
      </c>
      <c r="AE30" s="77">
        <v>0</v>
      </c>
      <c r="AF30" s="78">
        <v>0</v>
      </c>
      <c r="AG30" s="77">
        <v>0</v>
      </c>
      <c r="AH30" s="78">
        <v>0</v>
      </c>
      <c r="AI30" s="77">
        <v>0</v>
      </c>
      <c r="AJ30" s="78">
        <v>0</v>
      </c>
    </row>
    <row r="31" spans="2:36" ht="24">
      <c r="B31" s="52" t="s">
        <v>67</v>
      </c>
      <c r="C31" s="84">
        <v>14</v>
      </c>
      <c r="D31" s="85">
        <v>2011</v>
      </c>
      <c r="E31" s="77" t="s">
        <v>222</v>
      </c>
      <c r="F31" s="78">
        <v>150</v>
      </c>
      <c r="G31" s="77" t="s">
        <v>223</v>
      </c>
      <c r="H31" s="78">
        <v>75</v>
      </c>
      <c r="I31" s="77" t="s">
        <v>224</v>
      </c>
      <c r="J31" s="78">
        <v>226</v>
      </c>
      <c r="K31" s="77" t="s">
        <v>225</v>
      </c>
      <c r="L31" s="78">
        <v>252</v>
      </c>
      <c r="M31" s="77" t="s">
        <v>226</v>
      </c>
      <c r="N31" s="78">
        <v>54</v>
      </c>
      <c r="O31" s="77" t="s">
        <v>227</v>
      </c>
      <c r="P31" s="78">
        <v>60</v>
      </c>
      <c r="Q31" s="77" t="s">
        <v>228</v>
      </c>
      <c r="R31" s="78">
        <v>20</v>
      </c>
      <c r="S31" s="77" t="s">
        <v>229</v>
      </c>
      <c r="T31" s="78">
        <v>339</v>
      </c>
      <c r="U31" s="77" t="s">
        <v>230</v>
      </c>
      <c r="V31" s="78">
        <v>193</v>
      </c>
      <c r="W31" s="77" t="s">
        <v>231</v>
      </c>
      <c r="X31" s="78">
        <v>134</v>
      </c>
      <c r="Y31" s="77" t="s">
        <v>232</v>
      </c>
      <c r="Z31" s="78">
        <v>98</v>
      </c>
      <c r="AA31" s="77" t="s">
        <v>233</v>
      </c>
      <c r="AB31" s="78">
        <v>85</v>
      </c>
      <c r="AC31" s="77" t="s">
        <v>234</v>
      </c>
      <c r="AD31" s="78">
        <v>160</v>
      </c>
      <c r="AE31" s="77" t="s">
        <v>235</v>
      </c>
      <c r="AF31" s="78">
        <v>165</v>
      </c>
      <c r="AG31" s="77">
        <v>0</v>
      </c>
      <c r="AH31" s="78">
        <v>0</v>
      </c>
      <c r="AI31" s="77">
        <v>0</v>
      </c>
      <c r="AJ31" s="78">
        <v>0</v>
      </c>
    </row>
    <row r="32" spans="2:36" ht="24">
      <c r="B32" s="52" t="s">
        <v>66</v>
      </c>
      <c r="C32" s="84">
        <v>5</v>
      </c>
      <c r="D32" s="85">
        <v>262</v>
      </c>
      <c r="E32" s="77" t="s">
        <v>236</v>
      </c>
      <c r="F32" s="78">
        <v>80</v>
      </c>
      <c r="G32" s="77" t="s">
        <v>237</v>
      </c>
      <c r="H32" s="78">
        <v>67</v>
      </c>
      <c r="I32" s="77" t="s">
        <v>238</v>
      </c>
      <c r="J32" s="78">
        <v>30</v>
      </c>
      <c r="K32" s="77" t="s">
        <v>239</v>
      </c>
      <c r="L32" s="78">
        <v>50</v>
      </c>
      <c r="M32" s="77" t="s">
        <v>240</v>
      </c>
      <c r="N32" s="78">
        <v>35</v>
      </c>
      <c r="O32" s="77">
        <v>0</v>
      </c>
      <c r="P32" s="78">
        <v>0</v>
      </c>
      <c r="Q32" s="77">
        <v>0</v>
      </c>
      <c r="R32" s="78">
        <v>0</v>
      </c>
      <c r="S32" s="77">
        <v>0</v>
      </c>
      <c r="T32" s="78">
        <v>0</v>
      </c>
      <c r="U32" s="77">
        <v>0</v>
      </c>
      <c r="V32" s="78">
        <v>0</v>
      </c>
      <c r="W32" s="77">
        <v>0</v>
      </c>
      <c r="X32" s="78">
        <v>0</v>
      </c>
      <c r="Y32" s="77">
        <v>0</v>
      </c>
      <c r="Z32" s="78">
        <v>0</v>
      </c>
      <c r="AA32" s="77">
        <v>0</v>
      </c>
      <c r="AB32" s="78">
        <v>0</v>
      </c>
      <c r="AC32" s="77">
        <v>0</v>
      </c>
      <c r="AD32" s="78">
        <v>0</v>
      </c>
      <c r="AE32" s="77">
        <v>0</v>
      </c>
      <c r="AF32" s="78">
        <v>0</v>
      </c>
      <c r="AG32" s="77">
        <v>0</v>
      </c>
      <c r="AH32" s="78">
        <v>0</v>
      </c>
      <c r="AI32" s="77">
        <v>0</v>
      </c>
      <c r="AJ32" s="78">
        <v>0</v>
      </c>
    </row>
    <row r="33" spans="2:36" ht="24">
      <c r="B33" s="52" t="s">
        <v>65</v>
      </c>
      <c r="C33" s="84">
        <v>13</v>
      </c>
      <c r="D33" s="85">
        <v>608</v>
      </c>
      <c r="E33" s="77" t="s">
        <v>241</v>
      </c>
      <c r="F33" s="78">
        <v>50</v>
      </c>
      <c r="G33" s="77" t="s">
        <v>242</v>
      </c>
      <c r="H33" s="78">
        <v>30</v>
      </c>
      <c r="I33" s="77" t="s">
        <v>243</v>
      </c>
      <c r="J33" s="78">
        <v>35</v>
      </c>
      <c r="K33" s="77" t="s">
        <v>244</v>
      </c>
      <c r="L33" s="78">
        <v>50</v>
      </c>
      <c r="M33" s="77" t="s">
        <v>245</v>
      </c>
      <c r="N33" s="78">
        <v>40</v>
      </c>
      <c r="O33" s="77" t="s">
        <v>246</v>
      </c>
      <c r="P33" s="78">
        <v>30</v>
      </c>
      <c r="Q33" s="77" t="s">
        <v>247</v>
      </c>
      <c r="R33" s="78">
        <v>30</v>
      </c>
      <c r="S33" s="77" t="s">
        <v>248</v>
      </c>
      <c r="T33" s="78">
        <v>51</v>
      </c>
      <c r="U33" s="77" t="s">
        <v>249</v>
      </c>
      <c r="V33" s="78">
        <v>154</v>
      </c>
      <c r="W33" s="77" t="s">
        <v>250</v>
      </c>
      <c r="X33" s="78">
        <v>35</v>
      </c>
      <c r="Y33" s="77" t="s">
        <v>251</v>
      </c>
      <c r="Z33" s="78">
        <v>30</v>
      </c>
      <c r="AA33" s="77" t="s">
        <v>252</v>
      </c>
      <c r="AB33" s="78">
        <v>38</v>
      </c>
      <c r="AC33" s="77" t="s">
        <v>253</v>
      </c>
      <c r="AD33" s="78">
        <v>35</v>
      </c>
      <c r="AE33" s="77">
        <v>0</v>
      </c>
      <c r="AF33" s="78">
        <v>0</v>
      </c>
      <c r="AG33" s="77">
        <v>0</v>
      </c>
      <c r="AH33" s="78">
        <v>0</v>
      </c>
      <c r="AI33" s="77">
        <v>0</v>
      </c>
      <c r="AJ33" s="78">
        <v>0</v>
      </c>
    </row>
    <row r="34" spans="2:36" ht="24">
      <c r="B34" s="52" t="s">
        <v>64</v>
      </c>
      <c r="C34" s="84">
        <v>1</v>
      </c>
      <c r="D34" s="85">
        <v>220</v>
      </c>
      <c r="E34" s="77" t="s">
        <v>254</v>
      </c>
      <c r="F34" s="78">
        <v>220</v>
      </c>
      <c r="G34" s="77">
        <v>0</v>
      </c>
      <c r="H34" s="78">
        <v>0</v>
      </c>
      <c r="I34" s="77">
        <v>0</v>
      </c>
      <c r="J34" s="78">
        <v>0</v>
      </c>
      <c r="K34" s="77">
        <v>0</v>
      </c>
      <c r="L34" s="78">
        <v>0</v>
      </c>
      <c r="M34" s="77">
        <v>0</v>
      </c>
      <c r="N34" s="78">
        <v>0</v>
      </c>
      <c r="O34" s="77">
        <v>0</v>
      </c>
      <c r="P34" s="78">
        <v>0</v>
      </c>
      <c r="Q34" s="77">
        <v>0</v>
      </c>
      <c r="R34" s="78">
        <v>0</v>
      </c>
      <c r="S34" s="77">
        <v>0</v>
      </c>
      <c r="T34" s="78">
        <v>0</v>
      </c>
      <c r="U34" s="77">
        <v>0</v>
      </c>
      <c r="V34" s="78">
        <v>0</v>
      </c>
      <c r="W34" s="77">
        <v>0</v>
      </c>
      <c r="X34" s="78">
        <v>0</v>
      </c>
      <c r="Y34" s="77">
        <v>0</v>
      </c>
      <c r="Z34" s="78">
        <v>0</v>
      </c>
      <c r="AA34" s="77">
        <v>0</v>
      </c>
      <c r="AB34" s="78">
        <v>0</v>
      </c>
      <c r="AC34" s="77">
        <v>0</v>
      </c>
      <c r="AD34" s="78">
        <v>0</v>
      </c>
      <c r="AE34" s="77">
        <v>0</v>
      </c>
      <c r="AF34" s="78">
        <v>0</v>
      </c>
      <c r="AG34" s="77">
        <v>0</v>
      </c>
      <c r="AH34" s="78">
        <v>0</v>
      </c>
      <c r="AI34" s="77">
        <v>0</v>
      </c>
      <c r="AJ34" s="78">
        <v>0</v>
      </c>
    </row>
    <row r="35" spans="2:36" ht="24">
      <c r="B35" s="52" t="s">
        <v>63</v>
      </c>
      <c r="C35" s="84">
        <v>2</v>
      </c>
      <c r="D35" s="85">
        <v>420</v>
      </c>
      <c r="E35" s="77" t="s">
        <v>255</v>
      </c>
      <c r="F35" s="78">
        <v>300</v>
      </c>
      <c r="G35" s="77" t="s">
        <v>256</v>
      </c>
      <c r="H35" s="78">
        <v>120</v>
      </c>
      <c r="I35" s="77">
        <v>0</v>
      </c>
      <c r="J35" s="78">
        <v>0</v>
      </c>
      <c r="K35" s="77">
        <v>0</v>
      </c>
      <c r="L35" s="78">
        <v>0</v>
      </c>
      <c r="M35" s="77">
        <v>0</v>
      </c>
      <c r="N35" s="78">
        <v>0</v>
      </c>
      <c r="O35" s="77">
        <v>0</v>
      </c>
      <c r="P35" s="78">
        <v>0</v>
      </c>
      <c r="Q35" s="77">
        <v>0</v>
      </c>
      <c r="R35" s="78">
        <v>0</v>
      </c>
      <c r="S35" s="77">
        <v>0</v>
      </c>
      <c r="T35" s="78">
        <v>0</v>
      </c>
      <c r="U35" s="77">
        <v>0</v>
      </c>
      <c r="V35" s="78">
        <v>0</v>
      </c>
      <c r="W35" s="77">
        <v>0</v>
      </c>
      <c r="X35" s="78">
        <v>0</v>
      </c>
      <c r="Y35" s="77">
        <v>0</v>
      </c>
      <c r="Z35" s="78">
        <v>0</v>
      </c>
      <c r="AA35" s="77">
        <v>0</v>
      </c>
      <c r="AB35" s="78">
        <v>0</v>
      </c>
      <c r="AC35" s="77">
        <v>0</v>
      </c>
      <c r="AD35" s="78">
        <v>0</v>
      </c>
      <c r="AE35" s="77">
        <v>0</v>
      </c>
      <c r="AF35" s="78">
        <v>0</v>
      </c>
      <c r="AG35" s="77">
        <v>0</v>
      </c>
      <c r="AH35" s="78">
        <v>0</v>
      </c>
      <c r="AI35" s="77">
        <v>0</v>
      </c>
      <c r="AJ35" s="78">
        <v>0</v>
      </c>
    </row>
    <row r="36" spans="2:36" ht="24">
      <c r="B36" s="52" t="s">
        <v>62</v>
      </c>
      <c r="C36" s="84">
        <v>11</v>
      </c>
      <c r="D36" s="85">
        <v>904</v>
      </c>
      <c r="E36" s="77" t="s">
        <v>257</v>
      </c>
      <c r="F36" s="78">
        <v>139</v>
      </c>
      <c r="G36" s="77" t="s">
        <v>258</v>
      </c>
      <c r="H36" s="78">
        <v>39</v>
      </c>
      <c r="I36" s="77" t="s">
        <v>259</v>
      </c>
      <c r="J36" s="78">
        <v>105</v>
      </c>
      <c r="K36" s="77" t="s">
        <v>260</v>
      </c>
      <c r="L36" s="78">
        <v>76</v>
      </c>
      <c r="M36" s="77" t="s">
        <v>261</v>
      </c>
      <c r="N36" s="78">
        <v>60</v>
      </c>
      <c r="O36" s="77" t="s">
        <v>262</v>
      </c>
      <c r="P36" s="78">
        <v>35</v>
      </c>
      <c r="Q36" s="77" t="s">
        <v>263</v>
      </c>
      <c r="R36" s="78">
        <v>57</v>
      </c>
      <c r="S36" s="77" t="s">
        <v>264</v>
      </c>
      <c r="T36" s="78">
        <v>41</v>
      </c>
      <c r="U36" s="77" t="s">
        <v>265</v>
      </c>
      <c r="V36" s="78">
        <v>34</v>
      </c>
      <c r="W36" s="77" t="s">
        <v>266</v>
      </c>
      <c r="X36" s="78">
        <v>50</v>
      </c>
      <c r="Y36" s="77" t="s">
        <v>267</v>
      </c>
      <c r="Z36" s="78">
        <v>268</v>
      </c>
      <c r="AA36" s="77">
        <v>0</v>
      </c>
      <c r="AB36" s="78">
        <v>0</v>
      </c>
      <c r="AC36" s="77">
        <v>0</v>
      </c>
      <c r="AD36" s="78">
        <v>0</v>
      </c>
      <c r="AE36" s="77">
        <v>0</v>
      </c>
      <c r="AF36" s="78">
        <v>0</v>
      </c>
      <c r="AG36" s="77">
        <v>0</v>
      </c>
      <c r="AH36" s="78">
        <v>0</v>
      </c>
      <c r="AI36" s="77">
        <v>0</v>
      </c>
      <c r="AJ36" s="78">
        <v>0</v>
      </c>
    </row>
    <row r="37" spans="2:36" ht="24">
      <c r="B37" s="52" t="s">
        <v>61</v>
      </c>
      <c r="C37" s="84">
        <v>7</v>
      </c>
      <c r="D37" s="85">
        <v>1013</v>
      </c>
      <c r="E37" s="77" t="s">
        <v>268</v>
      </c>
      <c r="F37" s="78">
        <v>466</v>
      </c>
      <c r="G37" s="77" t="s">
        <v>269</v>
      </c>
      <c r="H37" s="78">
        <v>310</v>
      </c>
      <c r="I37" s="77" t="s">
        <v>270</v>
      </c>
      <c r="J37" s="78">
        <v>80</v>
      </c>
      <c r="K37" s="77" t="s">
        <v>271</v>
      </c>
      <c r="L37" s="78">
        <v>50</v>
      </c>
      <c r="M37" s="77" t="s">
        <v>272</v>
      </c>
      <c r="N37" s="78">
        <v>57</v>
      </c>
      <c r="O37" s="77" t="s">
        <v>273</v>
      </c>
      <c r="P37" s="78">
        <v>30</v>
      </c>
      <c r="Q37" s="77" t="s">
        <v>274</v>
      </c>
      <c r="R37" s="78">
        <v>20</v>
      </c>
      <c r="S37" s="77">
        <v>0</v>
      </c>
      <c r="T37" s="78">
        <v>0</v>
      </c>
      <c r="U37" s="77">
        <v>0</v>
      </c>
      <c r="V37" s="78">
        <v>0</v>
      </c>
      <c r="W37" s="77">
        <v>0</v>
      </c>
      <c r="X37" s="78">
        <v>0</v>
      </c>
      <c r="Y37" s="77">
        <v>0</v>
      </c>
      <c r="Z37" s="78">
        <v>0</v>
      </c>
      <c r="AA37" s="77">
        <v>0</v>
      </c>
      <c r="AB37" s="78">
        <v>0</v>
      </c>
      <c r="AC37" s="77">
        <v>0</v>
      </c>
      <c r="AD37" s="78">
        <v>0</v>
      </c>
      <c r="AE37" s="77">
        <v>0</v>
      </c>
      <c r="AF37" s="78">
        <v>0</v>
      </c>
      <c r="AG37" s="77">
        <v>0</v>
      </c>
      <c r="AH37" s="78">
        <v>0</v>
      </c>
      <c r="AI37" s="77">
        <v>0</v>
      </c>
      <c r="AJ37" s="78">
        <v>0</v>
      </c>
    </row>
    <row r="38" spans="2:36" ht="24">
      <c r="B38" s="52" t="s">
        <v>60</v>
      </c>
      <c r="C38" s="84">
        <v>5</v>
      </c>
      <c r="D38" s="85">
        <v>1160</v>
      </c>
      <c r="E38" s="77" t="s">
        <v>275</v>
      </c>
      <c r="F38" s="78">
        <v>221</v>
      </c>
      <c r="G38" s="77" t="s">
        <v>276</v>
      </c>
      <c r="H38" s="78">
        <v>70</v>
      </c>
      <c r="I38" s="77" t="s">
        <v>277</v>
      </c>
      <c r="J38" s="78">
        <v>151</v>
      </c>
      <c r="K38" s="77" t="s">
        <v>278</v>
      </c>
      <c r="L38" s="78">
        <v>50</v>
      </c>
      <c r="M38" s="77" t="s">
        <v>279</v>
      </c>
      <c r="N38" s="78">
        <v>668</v>
      </c>
      <c r="O38" s="77">
        <v>0</v>
      </c>
      <c r="P38" s="78">
        <v>0</v>
      </c>
      <c r="Q38" s="77">
        <v>0</v>
      </c>
      <c r="R38" s="78">
        <v>0</v>
      </c>
      <c r="S38" s="77">
        <v>0</v>
      </c>
      <c r="T38" s="78">
        <v>0</v>
      </c>
      <c r="U38" s="77">
        <v>0</v>
      </c>
      <c r="V38" s="78">
        <v>0</v>
      </c>
      <c r="W38" s="77">
        <v>0</v>
      </c>
      <c r="X38" s="78">
        <v>0</v>
      </c>
      <c r="Y38" s="77">
        <v>0</v>
      </c>
      <c r="Z38" s="78">
        <v>0</v>
      </c>
      <c r="AA38" s="77">
        <v>0</v>
      </c>
      <c r="AB38" s="78">
        <v>0</v>
      </c>
      <c r="AC38" s="77">
        <v>0</v>
      </c>
      <c r="AD38" s="78">
        <v>0</v>
      </c>
      <c r="AE38" s="77">
        <v>0</v>
      </c>
      <c r="AF38" s="78">
        <v>0</v>
      </c>
      <c r="AG38" s="77">
        <v>0</v>
      </c>
      <c r="AH38" s="78">
        <v>0</v>
      </c>
      <c r="AI38" s="77">
        <v>0</v>
      </c>
      <c r="AJ38" s="78">
        <v>0</v>
      </c>
    </row>
    <row r="39" spans="2:36" ht="24">
      <c r="B39" s="52" t="s">
        <v>59</v>
      </c>
      <c r="C39" s="84">
        <v>4</v>
      </c>
      <c r="D39" s="85">
        <v>146</v>
      </c>
      <c r="E39" s="77" t="s">
        <v>280</v>
      </c>
      <c r="F39" s="78">
        <v>55</v>
      </c>
      <c r="G39" s="77" t="s">
        <v>281</v>
      </c>
      <c r="H39" s="78">
        <v>28</v>
      </c>
      <c r="I39" s="77" t="s">
        <v>282</v>
      </c>
      <c r="J39" s="78">
        <v>30</v>
      </c>
      <c r="K39" s="77" t="s">
        <v>283</v>
      </c>
      <c r="L39" s="78">
        <v>33</v>
      </c>
      <c r="M39" s="77">
        <v>0</v>
      </c>
      <c r="N39" s="78">
        <v>0</v>
      </c>
      <c r="O39" s="77">
        <v>0</v>
      </c>
      <c r="P39" s="78">
        <v>0</v>
      </c>
      <c r="Q39" s="77">
        <v>0</v>
      </c>
      <c r="R39" s="78">
        <v>0</v>
      </c>
      <c r="S39" s="77">
        <v>0</v>
      </c>
      <c r="T39" s="78">
        <v>0</v>
      </c>
      <c r="U39" s="77">
        <v>0</v>
      </c>
      <c r="V39" s="78">
        <v>0</v>
      </c>
      <c r="W39" s="77">
        <v>0</v>
      </c>
      <c r="X39" s="78">
        <v>0</v>
      </c>
      <c r="Y39" s="77">
        <v>0</v>
      </c>
      <c r="Z39" s="78">
        <v>0</v>
      </c>
      <c r="AA39" s="77">
        <v>0</v>
      </c>
      <c r="AB39" s="78">
        <v>0</v>
      </c>
      <c r="AC39" s="77">
        <v>0</v>
      </c>
      <c r="AD39" s="78">
        <v>0</v>
      </c>
      <c r="AE39" s="77">
        <v>0</v>
      </c>
      <c r="AF39" s="78">
        <v>0</v>
      </c>
      <c r="AG39" s="77">
        <v>0</v>
      </c>
      <c r="AH39" s="78">
        <v>0</v>
      </c>
      <c r="AI39" s="77">
        <v>0</v>
      </c>
      <c r="AJ39" s="78">
        <v>0</v>
      </c>
    </row>
    <row r="40" spans="2:36" ht="24">
      <c r="B40" s="52" t="s">
        <v>58</v>
      </c>
      <c r="C40" s="84">
        <v>9</v>
      </c>
      <c r="D40" s="85">
        <v>1925</v>
      </c>
      <c r="E40" s="77" t="s">
        <v>284</v>
      </c>
      <c r="F40" s="78">
        <v>851</v>
      </c>
      <c r="G40" s="77" t="s">
        <v>285</v>
      </c>
      <c r="H40" s="78">
        <v>115</v>
      </c>
      <c r="I40" s="77" t="s">
        <v>286</v>
      </c>
      <c r="J40" s="78">
        <v>400</v>
      </c>
      <c r="K40" s="77" t="s">
        <v>287</v>
      </c>
      <c r="L40" s="78">
        <v>60</v>
      </c>
      <c r="M40" s="77" t="s">
        <v>288</v>
      </c>
      <c r="N40" s="78">
        <v>50</v>
      </c>
      <c r="O40" s="77" t="s">
        <v>289</v>
      </c>
      <c r="P40" s="78">
        <v>120</v>
      </c>
      <c r="Q40" s="77" t="s">
        <v>290</v>
      </c>
      <c r="R40" s="78">
        <v>30</v>
      </c>
      <c r="S40" s="77" t="s">
        <v>291</v>
      </c>
      <c r="T40" s="78">
        <v>20</v>
      </c>
      <c r="U40" s="77" t="s">
        <v>292</v>
      </c>
      <c r="V40" s="78">
        <v>279</v>
      </c>
      <c r="W40" s="77">
        <v>0</v>
      </c>
      <c r="X40" s="78">
        <v>0</v>
      </c>
      <c r="Y40" s="77">
        <v>0</v>
      </c>
      <c r="Z40" s="78">
        <v>0</v>
      </c>
      <c r="AA40" s="77">
        <v>0</v>
      </c>
      <c r="AB40" s="78">
        <v>0</v>
      </c>
      <c r="AC40" s="77">
        <v>0</v>
      </c>
      <c r="AD40" s="78">
        <v>0</v>
      </c>
      <c r="AE40" s="77">
        <v>0</v>
      </c>
      <c r="AF40" s="78">
        <v>0</v>
      </c>
      <c r="AG40" s="77">
        <v>0</v>
      </c>
      <c r="AH40" s="78">
        <v>0</v>
      </c>
      <c r="AI40" s="77">
        <v>0</v>
      </c>
      <c r="AJ40" s="78">
        <v>0</v>
      </c>
    </row>
    <row r="41" spans="2:36" ht="24">
      <c r="B41" s="52" t="s">
        <v>57</v>
      </c>
      <c r="C41" s="84">
        <v>11</v>
      </c>
      <c r="D41" s="85">
        <v>2223</v>
      </c>
      <c r="E41" s="77" t="s">
        <v>293</v>
      </c>
      <c r="F41" s="78">
        <v>50</v>
      </c>
      <c r="G41" s="77" t="s">
        <v>294</v>
      </c>
      <c r="H41" s="78">
        <v>80</v>
      </c>
      <c r="I41" s="77" t="s">
        <v>295</v>
      </c>
      <c r="J41" s="78">
        <v>25</v>
      </c>
      <c r="K41" s="77" t="s">
        <v>296</v>
      </c>
      <c r="L41" s="78">
        <v>50</v>
      </c>
      <c r="M41" s="77" t="s">
        <v>297</v>
      </c>
      <c r="N41" s="78">
        <v>80</v>
      </c>
      <c r="O41" s="77" t="s">
        <v>298</v>
      </c>
      <c r="P41" s="78">
        <v>20</v>
      </c>
      <c r="Q41" s="77" t="s">
        <v>299</v>
      </c>
      <c r="R41" s="78">
        <v>70</v>
      </c>
      <c r="S41" s="77" t="s">
        <v>300</v>
      </c>
      <c r="T41" s="78">
        <v>40</v>
      </c>
      <c r="U41" s="77" t="s">
        <v>301</v>
      </c>
      <c r="V41" s="78">
        <v>50</v>
      </c>
      <c r="W41" s="77" t="s">
        <v>302</v>
      </c>
      <c r="X41" s="82">
        <v>1718</v>
      </c>
      <c r="Y41" s="77" t="s">
        <v>303</v>
      </c>
      <c r="Z41" s="78">
        <v>40</v>
      </c>
      <c r="AA41" s="77">
        <v>0</v>
      </c>
      <c r="AB41" s="78">
        <v>0</v>
      </c>
      <c r="AC41" s="77">
        <v>0</v>
      </c>
      <c r="AD41" s="78">
        <v>0</v>
      </c>
      <c r="AE41" s="77">
        <v>0</v>
      </c>
      <c r="AF41" s="78">
        <v>0</v>
      </c>
      <c r="AG41" s="77">
        <v>0</v>
      </c>
      <c r="AH41" s="78">
        <v>0</v>
      </c>
      <c r="AI41" s="77">
        <v>0</v>
      </c>
      <c r="AJ41" s="78">
        <v>0</v>
      </c>
    </row>
    <row r="42" spans="2:36" ht="24">
      <c r="B42" s="52" t="s">
        <v>56</v>
      </c>
      <c r="C42" s="84">
        <v>4</v>
      </c>
      <c r="D42" s="85">
        <v>552</v>
      </c>
      <c r="E42" s="77" t="s">
        <v>304</v>
      </c>
      <c r="F42" s="78">
        <v>470</v>
      </c>
      <c r="G42" s="77" t="s">
        <v>305</v>
      </c>
      <c r="H42" s="78">
        <v>32</v>
      </c>
      <c r="I42" s="77" t="s">
        <v>306</v>
      </c>
      <c r="J42" s="78">
        <v>22</v>
      </c>
      <c r="K42" s="77" t="s">
        <v>307</v>
      </c>
      <c r="L42" s="78">
        <v>28</v>
      </c>
      <c r="M42" s="77">
        <v>0</v>
      </c>
      <c r="N42" s="78">
        <v>0</v>
      </c>
      <c r="O42" s="77">
        <v>0</v>
      </c>
      <c r="P42" s="78">
        <v>0</v>
      </c>
      <c r="Q42" s="77">
        <v>0</v>
      </c>
      <c r="R42" s="78">
        <v>0</v>
      </c>
      <c r="S42" s="77">
        <v>0</v>
      </c>
      <c r="T42" s="78">
        <v>0</v>
      </c>
      <c r="U42" s="77">
        <v>0</v>
      </c>
      <c r="V42" s="78">
        <v>0</v>
      </c>
      <c r="W42" s="77">
        <v>0</v>
      </c>
      <c r="X42" s="78">
        <v>0</v>
      </c>
      <c r="Y42" s="77">
        <v>0</v>
      </c>
      <c r="Z42" s="78">
        <v>0</v>
      </c>
      <c r="AA42" s="77">
        <v>0</v>
      </c>
      <c r="AB42" s="78">
        <v>0</v>
      </c>
      <c r="AC42" s="77">
        <v>0</v>
      </c>
      <c r="AD42" s="78">
        <v>0</v>
      </c>
      <c r="AE42" s="77">
        <v>0</v>
      </c>
      <c r="AF42" s="78">
        <v>0</v>
      </c>
      <c r="AG42" s="77">
        <v>0</v>
      </c>
      <c r="AH42" s="78">
        <v>0</v>
      </c>
      <c r="AI42" s="77">
        <v>0</v>
      </c>
      <c r="AJ42" s="78">
        <v>0</v>
      </c>
    </row>
    <row r="43" spans="2:36" ht="24">
      <c r="B43" s="52" t="s">
        <v>55</v>
      </c>
      <c r="C43" s="84">
        <v>6</v>
      </c>
      <c r="D43" s="85">
        <v>520</v>
      </c>
      <c r="E43" s="77" t="s">
        <v>308</v>
      </c>
      <c r="F43" s="78">
        <v>255</v>
      </c>
      <c r="G43" s="77" t="s">
        <v>309</v>
      </c>
      <c r="H43" s="78">
        <v>48</v>
      </c>
      <c r="I43" s="77" t="s">
        <v>310</v>
      </c>
      <c r="J43" s="78">
        <v>96</v>
      </c>
      <c r="K43" s="77" t="s">
        <v>311</v>
      </c>
      <c r="L43" s="78">
        <v>61</v>
      </c>
      <c r="M43" s="77" t="s">
        <v>312</v>
      </c>
      <c r="N43" s="78">
        <v>20</v>
      </c>
      <c r="O43" s="77" t="s">
        <v>313</v>
      </c>
      <c r="P43" s="78">
        <v>40</v>
      </c>
      <c r="Q43" s="77">
        <v>0</v>
      </c>
      <c r="R43" s="78">
        <v>0</v>
      </c>
      <c r="S43" s="77">
        <v>0</v>
      </c>
      <c r="T43" s="78">
        <v>0</v>
      </c>
      <c r="U43" s="77">
        <v>0</v>
      </c>
      <c r="V43" s="78">
        <v>0</v>
      </c>
      <c r="W43" s="77">
        <v>0</v>
      </c>
      <c r="X43" s="78">
        <v>0</v>
      </c>
      <c r="Y43" s="77">
        <v>0</v>
      </c>
      <c r="Z43" s="78">
        <v>0</v>
      </c>
      <c r="AA43" s="77">
        <v>0</v>
      </c>
      <c r="AB43" s="78">
        <v>0</v>
      </c>
      <c r="AC43" s="77">
        <v>0</v>
      </c>
      <c r="AD43" s="78">
        <v>0</v>
      </c>
      <c r="AE43" s="77">
        <v>0</v>
      </c>
      <c r="AF43" s="78">
        <v>0</v>
      </c>
      <c r="AG43" s="77">
        <v>0</v>
      </c>
      <c r="AH43" s="78">
        <v>0</v>
      </c>
      <c r="AI43" s="77">
        <v>0</v>
      </c>
      <c r="AJ43" s="78">
        <v>0</v>
      </c>
    </row>
    <row r="44" spans="2:36" ht="24">
      <c r="B44" s="52" t="s">
        <v>54</v>
      </c>
      <c r="C44" s="84">
        <v>1</v>
      </c>
      <c r="D44" s="85">
        <v>500</v>
      </c>
      <c r="E44" s="77" t="s">
        <v>314</v>
      </c>
      <c r="F44" s="78">
        <v>500</v>
      </c>
      <c r="G44" s="77">
        <v>0</v>
      </c>
      <c r="H44" s="78">
        <v>0</v>
      </c>
      <c r="I44" s="77">
        <v>0</v>
      </c>
      <c r="J44" s="78">
        <v>0</v>
      </c>
      <c r="K44" s="77">
        <v>0</v>
      </c>
      <c r="L44" s="78">
        <v>0</v>
      </c>
      <c r="M44" s="77">
        <v>0</v>
      </c>
      <c r="N44" s="78">
        <v>0</v>
      </c>
      <c r="O44" s="77">
        <v>0</v>
      </c>
      <c r="P44" s="78">
        <v>0</v>
      </c>
      <c r="Q44" s="77">
        <v>0</v>
      </c>
      <c r="R44" s="78">
        <v>0</v>
      </c>
      <c r="S44" s="77">
        <v>0</v>
      </c>
      <c r="T44" s="78">
        <v>0</v>
      </c>
      <c r="U44" s="77">
        <v>0</v>
      </c>
      <c r="V44" s="78">
        <v>0</v>
      </c>
      <c r="W44" s="77">
        <v>0</v>
      </c>
      <c r="X44" s="78">
        <v>0</v>
      </c>
      <c r="Y44" s="77">
        <v>0</v>
      </c>
      <c r="Z44" s="78">
        <v>0</v>
      </c>
      <c r="AA44" s="77">
        <v>0</v>
      </c>
      <c r="AB44" s="78">
        <v>0</v>
      </c>
      <c r="AC44" s="77">
        <v>0</v>
      </c>
      <c r="AD44" s="78">
        <v>0</v>
      </c>
      <c r="AE44" s="77">
        <v>0</v>
      </c>
      <c r="AF44" s="78">
        <v>0</v>
      </c>
      <c r="AG44" s="77">
        <v>0</v>
      </c>
      <c r="AH44" s="78">
        <v>0</v>
      </c>
      <c r="AI44" s="77">
        <v>0</v>
      </c>
      <c r="AJ44" s="78">
        <v>0</v>
      </c>
    </row>
    <row r="45" spans="2:36" ht="24">
      <c r="B45" s="52" t="s">
        <v>53</v>
      </c>
      <c r="C45" s="84">
        <v>7</v>
      </c>
      <c r="D45" s="85">
        <v>988</v>
      </c>
      <c r="E45" s="77" t="s">
        <v>315</v>
      </c>
      <c r="F45" s="78">
        <v>358</v>
      </c>
      <c r="G45" s="77" t="s">
        <v>316</v>
      </c>
      <c r="H45" s="78">
        <v>320</v>
      </c>
      <c r="I45" s="77" t="s">
        <v>317</v>
      </c>
      <c r="J45" s="78">
        <v>80</v>
      </c>
      <c r="K45" s="77" t="s">
        <v>318</v>
      </c>
      <c r="L45" s="78">
        <v>100</v>
      </c>
      <c r="M45" s="77" t="s">
        <v>319</v>
      </c>
      <c r="N45" s="78">
        <v>25</v>
      </c>
      <c r="O45" s="77" t="s">
        <v>320</v>
      </c>
      <c r="P45" s="78">
        <v>80</v>
      </c>
      <c r="Q45" s="77" t="s">
        <v>321</v>
      </c>
      <c r="R45" s="78">
        <v>25</v>
      </c>
      <c r="S45" s="77">
        <v>0</v>
      </c>
      <c r="T45" s="78">
        <v>0</v>
      </c>
      <c r="U45" s="77">
        <v>0</v>
      </c>
      <c r="V45" s="78">
        <v>0</v>
      </c>
      <c r="W45" s="77">
        <v>0</v>
      </c>
      <c r="X45" s="78">
        <v>0</v>
      </c>
      <c r="Y45" s="77">
        <v>0</v>
      </c>
      <c r="Z45" s="78">
        <v>0</v>
      </c>
      <c r="AA45" s="77">
        <v>0</v>
      </c>
      <c r="AB45" s="78">
        <v>0</v>
      </c>
      <c r="AC45" s="77">
        <v>0</v>
      </c>
      <c r="AD45" s="78">
        <v>0</v>
      </c>
      <c r="AE45" s="77">
        <v>0</v>
      </c>
      <c r="AF45" s="78">
        <v>0</v>
      </c>
      <c r="AG45" s="77">
        <v>0</v>
      </c>
      <c r="AH45" s="78">
        <v>0</v>
      </c>
      <c r="AI45" s="77">
        <v>0</v>
      </c>
      <c r="AJ45" s="78">
        <v>0</v>
      </c>
    </row>
    <row r="46" spans="2:36" ht="24">
      <c r="B46" s="52" t="s">
        <v>52</v>
      </c>
      <c r="C46" s="84">
        <v>9</v>
      </c>
      <c r="D46" s="85">
        <v>354</v>
      </c>
      <c r="E46" s="77" t="s">
        <v>322</v>
      </c>
      <c r="F46" s="78">
        <v>40</v>
      </c>
      <c r="G46" s="77" t="s">
        <v>323</v>
      </c>
      <c r="H46" s="78">
        <v>45</v>
      </c>
      <c r="I46" s="77" t="s">
        <v>324</v>
      </c>
      <c r="J46" s="78">
        <v>34</v>
      </c>
      <c r="K46" s="77" t="s">
        <v>325</v>
      </c>
      <c r="L46" s="78">
        <v>60</v>
      </c>
      <c r="M46" s="77" t="s">
        <v>326</v>
      </c>
      <c r="N46" s="78">
        <v>50</v>
      </c>
      <c r="O46" s="77" t="s">
        <v>327</v>
      </c>
      <c r="P46" s="78">
        <v>20</v>
      </c>
      <c r="Q46" s="77" t="s">
        <v>328</v>
      </c>
      <c r="R46" s="78">
        <v>25</v>
      </c>
      <c r="S46" s="77" t="s">
        <v>329</v>
      </c>
      <c r="T46" s="78">
        <v>40</v>
      </c>
      <c r="U46" s="77" t="s">
        <v>330</v>
      </c>
      <c r="V46" s="78">
        <v>40</v>
      </c>
      <c r="W46" s="77">
        <v>0</v>
      </c>
      <c r="X46" s="78">
        <v>0</v>
      </c>
      <c r="Y46" s="77">
        <v>0</v>
      </c>
      <c r="Z46" s="78">
        <v>0</v>
      </c>
      <c r="AA46" s="77">
        <v>0</v>
      </c>
      <c r="AB46" s="78">
        <v>0</v>
      </c>
      <c r="AC46" s="77">
        <v>0</v>
      </c>
      <c r="AD46" s="78">
        <v>0</v>
      </c>
      <c r="AE46" s="77">
        <v>0</v>
      </c>
      <c r="AF46" s="78">
        <v>0</v>
      </c>
      <c r="AG46" s="77">
        <v>0</v>
      </c>
      <c r="AH46" s="78">
        <v>0</v>
      </c>
      <c r="AI46" s="77">
        <v>0</v>
      </c>
      <c r="AJ46" s="78">
        <v>0</v>
      </c>
    </row>
    <row r="47" spans="2:36" ht="24">
      <c r="B47" s="81" t="s">
        <v>51</v>
      </c>
      <c r="C47" s="84">
        <v>0</v>
      </c>
      <c r="D47" s="85">
        <v>0</v>
      </c>
      <c r="E47" s="77"/>
      <c r="F47" s="78"/>
      <c r="G47" s="77"/>
      <c r="H47" s="78"/>
      <c r="I47" s="77"/>
      <c r="J47" s="78"/>
      <c r="K47" s="77"/>
      <c r="L47" s="78"/>
      <c r="M47" s="77"/>
      <c r="N47" s="78"/>
      <c r="O47" s="77"/>
      <c r="P47" s="78"/>
      <c r="Q47" s="77"/>
      <c r="R47" s="78"/>
      <c r="S47" s="77"/>
      <c r="T47" s="78"/>
      <c r="U47" s="77"/>
      <c r="V47" s="78"/>
      <c r="W47" s="77"/>
      <c r="X47" s="78"/>
      <c r="Y47" s="77"/>
      <c r="Z47" s="78"/>
      <c r="AA47" s="77"/>
      <c r="AB47" s="78"/>
      <c r="AC47" s="77"/>
      <c r="AD47" s="78"/>
      <c r="AE47" s="77"/>
      <c r="AF47" s="78"/>
      <c r="AG47" s="77"/>
      <c r="AH47" s="78"/>
      <c r="AI47" s="77"/>
      <c r="AJ47" s="78"/>
    </row>
    <row r="48" spans="2:36" ht="24">
      <c r="B48" s="52" t="s">
        <v>50</v>
      </c>
      <c r="C48" s="84">
        <v>3</v>
      </c>
      <c r="D48" s="85">
        <v>90</v>
      </c>
      <c r="E48" s="77" t="s">
        <v>331</v>
      </c>
      <c r="F48" s="78">
        <v>50</v>
      </c>
      <c r="G48" s="77" t="s">
        <v>332</v>
      </c>
      <c r="H48" s="78">
        <v>35</v>
      </c>
      <c r="I48" s="77" t="s">
        <v>333</v>
      </c>
      <c r="J48" s="78">
        <v>5</v>
      </c>
      <c r="K48" s="77">
        <v>0</v>
      </c>
      <c r="L48" s="78">
        <v>0</v>
      </c>
      <c r="M48" s="77">
        <v>0</v>
      </c>
      <c r="N48" s="78">
        <v>0</v>
      </c>
      <c r="O48" s="77">
        <v>0</v>
      </c>
      <c r="P48" s="78">
        <v>0</v>
      </c>
      <c r="Q48" s="77">
        <v>0</v>
      </c>
      <c r="R48" s="78">
        <v>0</v>
      </c>
      <c r="S48" s="77">
        <v>0</v>
      </c>
      <c r="T48" s="78">
        <v>0</v>
      </c>
      <c r="U48" s="77">
        <v>0</v>
      </c>
      <c r="V48" s="78">
        <v>0</v>
      </c>
      <c r="W48" s="77">
        <v>0</v>
      </c>
      <c r="X48" s="78">
        <v>0</v>
      </c>
      <c r="Y48" s="77">
        <v>0</v>
      </c>
      <c r="Z48" s="78">
        <v>0</v>
      </c>
      <c r="AA48" s="77">
        <v>0</v>
      </c>
      <c r="AB48" s="78">
        <v>0</v>
      </c>
      <c r="AC48" s="77">
        <v>0</v>
      </c>
      <c r="AD48" s="78">
        <v>0</v>
      </c>
      <c r="AE48" s="77">
        <v>0</v>
      </c>
      <c r="AF48" s="78">
        <v>0</v>
      </c>
      <c r="AG48" s="77">
        <v>0</v>
      </c>
      <c r="AH48" s="78">
        <v>0</v>
      </c>
      <c r="AI48" s="77">
        <v>0</v>
      </c>
      <c r="AJ48" s="78">
        <v>0</v>
      </c>
    </row>
    <row r="49" spans="2:36" ht="24">
      <c r="B49" s="52" t="s">
        <v>19</v>
      </c>
      <c r="C49" s="84">
        <v>15</v>
      </c>
      <c r="D49" s="85">
        <v>734</v>
      </c>
      <c r="E49" s="77" t="s">
        <v>334</v>
      </c>
      <c r="F49" s="78">
        <v>157</v>
      </c>
      <c r="G49" s="77" t="s">
        <v>335</v>
      </c>
      <c r="H49" s="78">
        <v>30</v>
      </c>
      <c r="I49" s="77" t="s">
        <v>336</v>
      </c>
      <c r="J49" s="78">
        <v>30</v>
      </c>
      <c r="K49" s="77" t="s">
        <v>337</v>
      </c>
      <c r="L49" s="78">
        <v>30</v>
      </c>
      <c r="M49" s="77" t="s">
        <v>338</v>
      </c>
      <c r="N49" s="78">
        <v>30</v>
      </c>
      <c r="O49" s="77" t="s">
        <v>339</v>
      </c>
      <c r="P49" s="78">
        <v>30</v>
      </c>
      <c r="Q49" s="77" t="s">
        <v>340</v>
      </c>
      <c r="R49" s="78">
        <v>30</v>
      </c>
      <c r="S49" s="77" t="s">
        <v>341</v>
      </c>
      <c r="T49" s="78">
        <v>30</v>
      </c>
      <c r="U49" s="77" t="s">
        <v>342</v>
      </c>
      <c r="V49" s="78">
        <v>124</v>
      </c>
      <c r="W49" s="77" t="s">
        <v>343</v>
      </c>
      <c r="X49" s="78">
        <v>70</v>
      </c>
      <c r="Y49" s="77" t="s">
        <v>344</v>
      </c>
      <c r="Z49" s="78">
        <v>22</v>
      </c>
      <c r="AA49" s="77" t="s">
        <v>345</v>
      </c>
      <c r="AB49" s="78">
        <v>38</v>
      </c>
      <c r="AC49" s="77" t="s">
        <v>346</v>
      </c>
      <c r="AD49" s="78">
        <v>35</v>
      </c>
      <c r="AE49" s="77" t="s">
        <v>347</v>
      </c>
      <c r="AF49" s="78">
        <v>48</v>
      </c>
      <c r="AG49" s="77" t="s">
        <v>348</v>
      </c>
      <c r="AH49" s="78">
        <v>30</v>
      </c>
      <c r="AI49" s="77">
        <v>0</v>
      </c>
      <c r="AJ49" s="78">
        <v>0</v>
      </c>
    </row>
    <row r="50" spans="2:36" ht="24">
      <c r="B50" s="52" t="s">
        <v>20</v>
      </c>
      <c r="C50" s="84">
        <v>5</v>
      </c>
      <c r="D50" s="85">
        <v>296</v>
      </c>
      <c r="E50" s="77" t="s">
        <v>349</v>
      </c>
      <c r="F50" s="78">
        <v>66</v>
      </c>
      <c r="G50" s="77" t="s">
        <v>350</v>
      </c>
      <c r="H50" s="78">
        <v>47</v>
      </c>
      <c r="I50" s="77" t="s">
        <v>351</v>
      </c>
      <c r="J50" s="78">
        <v>67</v>
      </c>
      <c r="K50" s="77" t="s">
        <v>352</v>
      </c>
      <c r="L50" s="78">
        <v>65</v>
      </c>
      <c r="M50" s="77" t="s">
        <v>353</v>
      </c>
      <c r="N50" s="78">
        <v>51</v>
      </c>
      <c r="O50" s="77">
        <v>0</v>
      </c>
      <c r="P50" s="78">
        <v>0</v>
      </c>
      <c r="Q50" s="77">
        <v>0</v>
      </c>
      <c r="R50" s="78">
        <v>0</v>
      </c>
      <c r="S50" s="77">
        <v>0</v>
      </c>
      <c r="T50" s="78">
        <v>0</v>
      </c>
      <c r="U50" s="77">
        <v>0</v>
      </c>
      <c r="V50" s="78">
        <v>0</v>
      </c>
      <c r="W50" s="77">
        <v>0</v>
      </c>
      <c r="X50" s="78">
        <v>0</v>
      </c>
      <c r="Y50" s="77">
        <v>0</v>
      </c>
      <c r="Z50" s="78">
        <v>0</v>
      </c>
      <c r="AA50" s="77">
        <v>0</v>
      </c>
      <c r="AB50" s="78">
        <v>0</v>
      </c>
      <c r="AC50" s="77">
        <v>0</v>
      </c>
      <c r="AD50" s="78">
        <v>0</v>
      </c>
      <c r="AE50" s="77">
        <v>0</v>
      </c>
      <c r="AF50" s="78">
        <v>0</v>
      </c>
      <c r="AG50" s="77">
        <v>0</v>
      </c>
      <c r="AH50" s="78">
        <v>0</v>
      </c>
      <c r="AI50" s="77">
        <v>0</v>
      </c>
      <c r="AJ50" s="78">
        <v>0</v>
      </c>
    </row>
    <row r="51" spans="2:36" ht="24">
      <c r="B51" s="52" t="s">
        <v>21</v>
      </c>
      <c r="C51" s="84">
        <v>13</v>
      </c>
      <c r="D51" s="85">
        <v>1104</v>
      </c>
      <c r="E51" s="77" t="s">
        <v>354</v>
      </c>
      <c r="F51" s="78">
        <v>50</v>
      </c>
      <c r="G51" s="77" t="s">
        <v>355</v>
      </c>
      <c r="H51" s="78">
        <v>150</v>
      </c>
      <c r="I51" s="77" t="s">
        <v>356</v>
      </c>
      <c r="J51" s="78">
        <v>100</v>
      </c>
      <c r="K51" s="77" t="s">
        <v>357</v>
      </c>
      <c r="L51" s="78">
        <v>266</v>
      </c>
      <c r="M51" s="77" t="s">
        <v>358</v>
      </c>
      <c r="N51" s="78">
        <v>90</v>
      </c>
      <c r="O51" s="77" t="s">
        <v>359</v>
      </c>
      <c r="P51" s="78">
        <v>102</v>
      </c>
      <c r="Q51" s="77" t="s">
        <v>360</v>
      </c>
      <c r="R51" s="78">
        <v>40</v>
      </c>
      <c r="S51" s="77" t="s">
        <v>361</v>
      </c>
      <c r="T51" s="78">
        <v>32</v>
      </c>
      <c r="U51" s="77" t="s">
        <v>362</v>
      </c>
      <c r="V51" s="78">
        <v>100</v>
      </c>
      <c r="W51" s="77" t="s">
        <v>363</v>
      </c>
      <c r="X51" s="78">
        <v>60</v>
      </c>
      <c r="Y51" s="77" t="s">
        <v>364</v>
      </c>
      <c r="Z51" s="78">
        <v>20</v>
      </c>
      <c r="AA51" s="77" t="s">
        <v>365</v>
      </c>
      <c r="AB51" s="78">
        <v>50</v>
      </c>
      <c r="AC51" s="77" t="s">
        <v>366</v>
      </c>
      <c r="AD51" s="78">
        <v>44</v>
      </c>
      <c r="AE51" s="77">
        <v>0</v>
      </c>
      <c r="AF51" s="78">
        <v>0</v>
      </c>
      <c r="AG51" s="77">
        <v>0</v>
      </c>
      <c r="AH51" s="78">
        <v>0</v>
      </c>
      <c r="AI51" s="77">
        <v>0</v>
      </c>
      <c r="AJ51" s="78">
        <v>0</v>
      </c>
    </row>
    <row r="52" spans="2:36" ht="24">
      <c r="B52" s="81" t="s">
        <v>22</v>
      </c>
      <c r="C52" s="84">
        <v>0</v>
      </c>
      <c r="D52" s="85">
        <v>0</v>
      </c>
      <c r="E52" s="77"/>
      <c r="F52" s="78"/>
      <c r="G52" s="77"/>
      <c r="H52" s="78"/>
      <c r="I52" s="77"/>
      <c r="J52" s="78"/>
      <c r="K52" s="77"/>
      <c r="L52" s="78"/>
      <c r="M52" s="77"/>
      <c r="N52" s="78"/>
      <c r="O52" s="77"/>
      <c r="P52" s="78"/>
      <c r="Q52" s="77"/>
      <c r="R52" s="78"/>
      <c r="S52" s="77"/>
      <c r="T52" s="78"/>
      <c r="U52" s="77"/>
      <c r="V52" s="78"/>
      <c r="W52" s="77"/>
      <c r="X52" s="78"/>
      <c r="Y52" s="77"/>
      <c r="Z52" s="78"/>
      <c r="AA52" s="77"/>
      <c r="AB52" s="78"/>
      <c r="AC52" s="77"/>
      <c r="AD52" s="78"/>
      <c r="AE52" s="77"/>
      <c r="AF52" s="78"/>
      <c r="AG52" s="77"/>
      <c r="AH52" s="78"/>
      <c r="AI52" s="77"/>
      <c r="AJ52" s="78"/>
    </row>
    <row r="53" spans="2:36" ht="24">
      <c r="B53" s="81" t="s">
        <v>23</v>
      </c>
      <c r="C53" s="84">
        <v>0</v>
      </c>
      <c r="D53" s="85">
        <v>0</v>
      </c>
      <c r="E53" s="77"/>
      <c r="F53" s="78"/>
      <c r="G53" s="77"/>
      <c r="H53" s="78"/>
      <c r="I53" s="77"/>
      <c r="J53" s="78"/>
      <c r="K53" s="77"/>
      <c r="L53" s="78"/>
      <c r="M53" s="77"/>
      <c r="N53" s="78"/>
      <c r="O53" s="77"/>
      <c r="P53" s="78"/>
      <c r="Q53" s="77"/>
      <c r="R53" s="78"/>
      <c r="S53" s="77"/>
      <c r="T53" s="78"/>
      <c r="U53" s="77"/>
      <c r="V53" s="78"/>
      <c r="W53" s="77"/>
      <c r="X53" s="78"/>
      <c r="Y53" s="77"/>
      <c r="Z53" s="78"/>
      <c r="AA53" s="77"/>
      <c r="AB53" s="78"/>
      <c r="AC53" s="77"/>
      <c r="AD53" s="78"/>
      <c r="AE53" s="77"/>
      <c r="AF53" s="78"/>
      <c r="AG53" s="77"/>
      <c r="AH53" s="78"/>
      <c r="AI53" s="77"/>
      <c r="AJ53" s="78"/>
    </row>
    <row r="54" spans="2:36" ht="24">
      <c r="B54" s="52" t="s">
        <v>24</v>
      </c>
      <c r="C54" s="84">
        <v>5</v>
      </c>
      <c r="D54" s="85">
        <v>670</v>
      </c>
      <c r="E54" s="77" t="s">
        <v>367</v>
      </c>
      <c r="F54" s="78">
        <v>499</v>
      </c>
      <c r="G54" s="77" t="s">
        <v>368</v>
      </c>
      <c r="H54" s="78">
        <v>48</v>
      </c>
      <c r="I54" s="77" t="s">
        <v>369</v>
      </c>
      <c r="J54" s="78">
        <v>58</v>
      </c>
      <c r="K54" s="77" t="s">
        <v>370</v>
      </c>
      <c r="L54" s="78">
        <v>30</v>
      </c>
      <c r="M54" s="77" t="s">
        <v>371</v>
      </c>
      <c r="N54" s="78">
        <v>35</v>
      </c>
      <c r="O54" s="77">
        <v>0</v>
      </c>
      <c r="P54" s="78">
        <v>0</v>
      </c>
      <c r="Q54" s="77">
        <v>0</v>
      </c>
      <c r="R54" s="78">
        <v>0</v>
      </c>
      <c r="S54" s="77">
        <v>0</v>
      </c>
      <c r="T54" s="78">
        <v>0</v>
      </c>
      <c r="U54" s="77">
        <v>0</v>
      </c>
      <c r="V54" s="78">
        <v>0</v>
      </c>
      <c r="W54" s="77">
        <v>0</v>
      </c>
      <c r="X54" s="78">
        <v>0</v>
      </c>
      <c r="Y54" s="77">
        <v>0</v>
      </c>
      <c r="Z54" s="78">
        <v>0</v>
      </c>
      <c r="AA54" s="77">
        <v>0</v>
      </c>
      <c r="AB54" s="78">
        <v>0</v>
      </c>
      <c r="AC54" s="77">
        <v>0</v>
      </c>
      <c r="AD54" s="78">
        <v>0</v>
      </c>
      <c r="AE54" s="77">
        <v>0</v>
      </c>
      <c r="AF54" s="78">
        <v>0</v>
      </c>
      <c r="AG54" s="77">
        <v>0</v>
      </c>
      <c r="AH54" s="78">
        <v>0</v>
      </c>
      <c r="AI54" s="77">
        <v>0</v>
      </c>
      <c r="AJ54" s="78">
        <v>0</v>
      </c>
    </row>
    <row r="55" spans="2:36" ht="24">
      <c r="B55" s="52" t="s">
        <v>25</v>
      </c>
      <c r="C55" s="84">
        <v>7</v>
      </c>
      <c r="D55" s="85">
        <v>435</v>
      </c>
      <c r="E55" s="77" t="s">
        <v>372</v>
      </c>
      <c r="F55" s="78">
        <v>185</v>
      </c>
      <c r="G55" s="77" t="s">
        <v>373</v>
      </c>
      <c r="H55" s="78">
        <v>17</v>
      </c>
      <c r="I55" s="77" t="s">
        <v>374</v>
      </c>
      <c r="J55" s="78">
        <v>19</v>
      </c>
      <c r="K55" s="77" t="s">
        <v>375</v>
      </c>
      <c r="L55" s="78">
        <v>14</v>
      </c>
      <c r="M55" s="77" t="s">
        <v>376</v>
      </c>
      <c r="N55" s="78">
        <v>80</v>
      </c>
      <c r="O55" s="77" t="s">
        <v>377</v>
      </c>
      <c r="P55" s="78">
        <v>40</v>
      </c>
      <c r="Q55" s="77" t="s">
        <v>292</v>
      </c>
      <c r="R55" s="78">
        <v>80</v>
      </c>
      <c r="S55" s="77">
        <v>0</v>
      </c>
      <c r="T55" s="78">
        <v>0</v>
      </c>
      <c r="U55" s="77">
        <v>0</v>
      </c>
      <c r="V55" s="78">
        <v>0</v>
      </c>
      <c r="W55" s="77">
        <v>0</v>
      </c>
      <c r="X55" s="78">
        <v>0</v>
      </c>
      <c r="Y55" s="77">
        <v>0</v>
      </c>
      <c r="Z55" s="78">
        <v>0</v>
      </c>
      <c r="AA55" s="77">
        <v>0</v>
      </c>
      <c r="AB55" s="78">
        <v>0</v>
      </c>
      <c r="AC55" s="77">
        <v>0</v>
      </c>
      <c r="AD55" s="78">
        <v>0</v>
      </c>
      <c r="AE55" s="77">
        <v>0</v>
      </c>
      <c r="AF55" s="78">
        <v>0</v>
      </c>
      <c r="AG55" s="77">
        <v>0</v>
      </c>
      <c r="AH55" s="78">
        <v>0</v>
      </c>
      <c r="AI55" s="77">
        <v>0</v>
      </c>
      <c r="AJ55" s="78">
        <v>0</v>
      </c>
    </row>
  </sheetData>
  <mergeCells count="105">
    <mergeCell ref="K2:L2"/>
    <mergeCell ref="M2:N2"/>
    <mergeCell ref="O2:P2"/>
    <mergeCell ref="Q2:R2"/>
    <mergeCell ref="S2:T2"/>
    <mergeCell ref="U2:V2"/>
    <mergeCell ref="B2:B4"/>
    <mergeCell ref="C2:C4"/>
    <mergeCell ref="D2:D4"/>
    <mergeCell ref="E2:F2"/>
    <mergeCell ref="G2:H2"/>
    <mergeCell ref="I2:J2"/>
    <mergeCell ref="T3:T4"/>
    <mergeCell ref="U3:U4"/>
    <mergeCell ref="V3:V4"/>
    <mergeCell ref="AM2:AN2"/>
    <mergeCell ref="AO2:AP2"/>
    <mergeCell ref="AQ2:AR2"/>
    <mergeCell ref="AS2:AT2"/>
    <mergeCell ref="W2:X2"/>
    <mergeCell ref="Y2:Z2"/>
    <mergeCell ref="AA2:AB2"/>
    <mergeCell ref="AC2:AD2"/>
    <mergeCell ref="AE2:AF2"/>
    <mergeCell ref="AG2:AH2"/>
    <mergeCell ref="BS2:BT2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BG2:BH2"/>
    <mergeCell ref="BI2:BJ2"/>
    <mergeCell ref="BK2:BL2"/>
    <mergeCell ref="BM2:BN2"/>
    <mergeCell ref="BO2:BP2"/>
    <mergeCell ref="BQ2:BR2"/>
    <mergeCell ref="AU2:AV2"/>
    <mergeCell ref="AW2:AX2"/>
    <mergeCell ref="AY2:AZ2"/>
    <mergeCell ref="BA2:BB2"/>
    <mergeCell ref="BC2:BD2"/>
    <mergeCell ref="BE2:BF2"/>
    <mergeCell ref="AI2:AJ2"/>
    <mergeCell ref="AK2:AL2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AF3:AF4"/>
    <mergeCell ref="AG3:AG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  <mergeCell ref="AR3:AR4"/>
    <mergeCell ref="AS3:AS4"/>
    <mergeCell ref="AT3:AT4"/>
    <mergeCell ref="AU3:AU4"/>
    <mergeCell ref="AV3:AV4"/>
    <mergeCell ref="AW3:AW4"/>
    <mergeCell ref="AL3:AL4"/>
    <mergeCell ref="AM3:AM4"/>
    <mergeCell ref="AN3:AN4"/>
    <mergeCell ref="AO3:AO4"/>
    <mergeCell ref="AP3:AP4"/>
    <mergeCell ref="AQ3:AQ4"/>
    <mergeCell ref="BD3:BD4"/>
    <mergeCell ref="BE3:BE4"/>
    <mergeCell ref="BF3:BF4"/>
    <mergeCell ref="BG3:BG4"/>
    <mergeCell ref="BH3:BH4"/>
    <mergeCell ref="BI3:BI4"/>
    <mergeCell ref="AX3:AX4"/>
    <mergeCell ref="AY3:AY4"/>
    <mergeCell ref="AZ3:AZ4"/>
    <mergeCell ref="BA3:BA4"/>
    <mergeCell ref="BB3:BB4"/>
    <mergeCell ref="BC3:BC4"/>
    <mergeCell ref="BP3:BP4"/>
    <mergeCell ref="BQ3:BQ4"/>
    <mergeCell ref="BR3:BR4"/>
    <mergeCell ref="BS3:BS4"/>
    <mergeCell ref="BT3:BT4"/>
    <mergeCell ref="BJ3:BJ4"/>
    <mergeCell ref="BK3:BK4"/>
    <mergeCell ref="BL3:BL4"/>
    <mergeCell ref="BM3:BM4"/>
    <mergeCell ref="BN3:BN4"/>
    <mergeCell ref="BO3:B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02F28-36A6-478D-88B3-BD29FBFBBC56}">
  <dimension ref="B1:CR55"/>
  <sheetViews>
    <sheetView workbookViewId="0">
      <pane xSplit="2" ySplit="5" topLeftCell="AO6" activePane="bottomRight" state="frozen"/>
      <selection pane="topRight" activeCell="C1" sqref="C1"/>
      <selection pane="bottomLeft" activeCell="A6" sqref="A6"/>
      <selection pane="bottomRight" activeCell="AL22" sqref="AL22"/>
    </sheetView>
  </sheetViews>
  <sheetFormatPr defaultColWidth="9.140625" defaultRowHeight="24"/>
  <cols>
    <col min="1" max="1" width="9.140625" style="56"/>
    <col min="2" max="2" width="21.140625" style="55" customWidth="1"/>
    <col min="3" max="4" width="9.5703125" style="56" bestFit="1" customWidth="1"/>
    <col min="5" max="5" width="10.85546875" style="56" bestFit="1" customWidth="1"/>
    <col min="6" max="14" width="9.5703125" style="56" bestFit="1" customWidth="1"/>
    <col min="15" max="23" width="9.140625" style="56" customWidth="1"/>
    <col min="24" max="47" width="7.5703125" style="56" customWidth="1"/>
    <col min="48" max="48" width="10" style="56" customWidth="1"/>
    <col min="49" max="49" width="10.5703125" style="56" customWidth="1"/>
    <col min="50" max="50" width="9.5703125" style="56" customWidth="1"/>
    <col min="51" max="53" width="13.5703125" style="56" bestFit="1" customWidth="1"/>
    <col min="54" max="54" width="12.42578125" style="56" bestFit="1" customWidth="1"/>
    <col min="55" max="56" width="13.5703125" style="56" bestFit="1" customWidth="1"/>
    <col min="57" max="58" width="12.42578125" style="56" bestFit="1" customWidth="1"/>
    <col min="59" max="59" width="13.5703125" style="56" bestFit="1" customWidth="1"/>
    <col min="60" max="62" width="12.42578125" style="56" bestFit="1" customWidth="1"/>
    <col min="63" max="64" width="10.85546875" style="56" bestFit="1" customWidth="1"/>
    <col min="65" max="65" width="12.42578125" style="56" bestFit="1" customWidth="1"/>
    <col min="66" max="67" width="10.85546875" style="56" bestFit="1" customWidth="1"/>
    <col min="68" max="68" width="12.42578125" style="56" bestFit="1" customWidth="1"/>
    <col min="69" max="71" width="10.85546875" style="56" bestFit="1" customWidth="1"/>
    <col min="72" max="95" width="9.5703125" style="56" bestFit="1" customWidth="1"/>
    <col min="96" max="16384" width="9.140625" style="56"/>
  </cols>
  <sheetData>
    <row r="1" spans="2:96" ht="24.75" thickBot="1">
      <c r="B1" s="55">
        <v>1</v>
      </c>
      <c r="C1" s="56">
        <v>2</v>
      </c>
      <c r="D1" s="56">
        <v>3</v>
      </c>
      <c r="E1" s="56">
        <v>4</v>
      </c>
      <c r="F1" s="56">
        <v>5</v>
      </c>
      <c r="G1" s="56">
        <v>6</v>
      </c>
      <c r="H1" s="56">
        <v>7</v>
      </c>
      <c r="I1" s="56">
        <v>8</v>
      </c>
      <c r="J1" s="56">
        <v>9</v>
      </c>
      <c r="K1" s="56">
        <v>10</v>
      </c>
      <c r="L1" s="56">
        <v>11</v>
      </c>
      <c r="M1" s="56">
        <v>12</v>
      </c>
      <c r="N1" s="56">
        <v>13</v>
      </c>
      <c r="O1" s="56">
        <v>14</v>
      </c>
      <c r="P1" s="56">
        <v>15</v>
      </c>
      <c r="Q1" s="56">
        <v>16</v>
      </c>
      <c r="R1" s="56">
        <v>17</v>
      </c>
      <c r="S1" s="56">
        <v>18</v>
      </c>
      <c r="T1" s="56">
        <v>19</v>
      </c>
      <c r="U1" s="56">
        <v>20</v>
      </c>
      <c r="V1" s="56">
        <v>21</v>
      </c>
      <c r="W1" s="56">
        <v>22</v>
      </c>
      <c r="X1" s="56">
        <v>23</v>
      </c>
      <c r="Y1" s="56">
        <v>24</v>
      </c>
      <c r="Z1" s="56">
        <v>25</v>
      </c>
      <c r="AA1" s="56">
        <v>26</v>
      </c>
      <c r="AB1" s="56">
        <v>27</v>
      </c>
      <c r="AC1" s="56">
        <v>28</v>
      </c>
      <c r="AD1" s="56">
        <v>29</v>
      </c>
      <c r="AE1" s="56">
        <v>30</v>
      </c>
      <c r="AF1" s="56">
        <v>31</v>
      </c>
      <c r="AG1" s="56">
        <v>32</v>
      </c>
      <c r="AH1" s="56">
        <v>33</v>
      </c>
      <c r="AI1" s="56">
        <v>34</v>
      </c>
      <c r="AJ1" s="56">
        <v>35</v>
      </c>
      <c r="AK1" s="56">
        <v>36</v>
      </c>
      <c r="AL1" s="56">
        <v>37</v>
      </c>
      <c r="AM1" s="56">
        <v>38</v>
      </c>
      <c r="AN1" s="56">
        <v>39</v>
      </c>
      <c r="AO1" s="56">
        <v>40</v>
      </c>
      <c r="AP1" s="56">
        <v>41</v>
      </c>
      <c r="AQ1" s="56">
        <v>42</v>
      </c>
      <c r="AR1" s="56">
        <v>43</v>
      </c>
      <c r="AS1" s="56">
        <v>44</v>
      </c>
      <c r="AT1" s="56">
        <v>45</v>
      </c>
      <c r="AU1" s="56">
        <v>46</v>
      </c>
      <c r="AV1" s="56">
        <v>47</v>
      </c>
      <c r="AW1" s="56">
        <v>48</v>
      </c>
      <c r="AX1" s="56">
        <v>49</v>
      </c>
      <c r="AY1" s="56">
        <v>50</v>
      </c>
      <c r="AZ1" s="56">
        <v>51</v>
      </c>
      <c r="BA1" s="56">
        <v>52</v>
      </c>
      <c r="BB1" s="56">
        <v>53</v>
      </c>
      <c r="BC1" s="56">
        <v>54</v>
      </c>
      <c r="BD1" s="56">
        <v>55</v>
      </c>
      <c r="BE1" s="56">
        <v>56</v>
      </c>
      <c r="BF1" s="56">
        <v>57</v>
      </c>
      <c r="BG1" s="56">
        <v>58</v>
      </c>
      <c r="BH1" s="56">
        <v>59</v>
      </c>
      <c r="BI1" s="56">
        <v>60</v>
      </c>
      <c r="BJ1" s="56">
        <v>61</v>
      </c>
      <c r="BK1" s="56">
        <v>62</v>
      </c>
      <c r="BL1" s="56">
        <v>63</v>
      </c>
      <c r="BM1" s="56">
        <v>64</v>
      </c>
      <c r="BN1" s="56">
        <v>65</v>
      </c>
      <c r="BO1" s="56">
        <v>66</v>
      </c>
      <c r="BP1" s="56">
        <v>67</v>
      </c>
      <c r="BQ1" s="56">
        <v>68</v>
      </c>
      <c r="BR1" s="56">
        <v>69</v>
      </c>
      <c r="BS1" s="56">
        <v>70</v>
      </c>
      <c r="BT1" s="56">
        <v>71</v>
      </c>
      <c r="BU1" s="56">
        <v>72</v>
      </c>
      <c r="BV1" s="56">
        <v>73</v>
      </c>
      <c r="BW1" s="56">
        <v>74</v>
      </c>
      <c r="BX1" s="56">
        <v>75</v>
      </c>
      <c r="BY1" s="56">
        <v>76</v>
      </c>
      <c r="BZ1" s="56">
        <v>77</v>
      </c>
      <c r="CA1" s="56">
        <v>78</v>
      </c>
      <c r="CB1" s="56">
        <v>79</v>
      </c>
      <c r="CC1" s="56">
        <v>80</v>
      </c>
      <c r="CD1" s="56">
        <v>81</v>
      </c>
      <c r="CE1" s="56">
        <v>82</v>
      </c>
      <c r="CF1" s="56">
        <v>83</v>
      </c>
      <c r="CG1" s="56">
        <v>84</v>
      </c>
      <c r="CH1" s="56">
        <v>85</v>
      </c>
      <c r="CI1" s="56">
        <v>86</v>
      </c>
      <c r="CJ1" s="56">
        <v>87</v>
      </c>
      <c r="CK1" s="56">
        <v>88</v>
      </c>
      <c r="CL1" s="56">
        <v>89</v>
      </c>
      <c r="CM1" s="56">
        <v>90</v>
      </c>
      <c r="CN1" s="56">
        <v>91</v>
      </c>
      <c r="CO1" s="56">
        <v>92</v>
      </c>
      <c r="CP1" s="56">
        <v>93</v>
      </c>
      <c r="CQ1" s="56">
        <v>94</v>
      </c>
    </row>
    <row r="2" spans="2:96" ht="24.75" thickBot="1">
      <c r="B2" s="51" t="s">
        <v>85</v>
      </c>
      <c r="C2" s="258" t="s">
        <v>89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  <c r="O2" s="259" t="s">
        <v>99</v>
      </c>
      <c r="P2" s="259"/>
      <c r="Q2" s="259"/>
      <c r="R2" s="259"/>
      <c r="S2" s="259"/>
      <c r="T2" s="259"/>
      <c r="U2" s="259"/>
      <c r="V2" s="259"/>
      <c r="W2" s="260"/>
      <c r="X2" s="258" t="s">
        <v>79</v>
      </c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60"/>
      <c r="AJ2" s="258" t="s">
        <v>80</v>
      </c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60"/>
      <c r="AV2" s="258" t="s">
        <v>75</v>
      </c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258" t="s">
        <v>417</v>
      </c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60"/>
      <c r="BT2" s="258" t="s">
        <v>90</v>
      </c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60"/>
      <c r="CF2" s="258" t="s">
        <v>91</v>
      </c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60"/>
    </row>
    <row r="3" spans="2:96">
      <c r="B3" s="51"/>
      <c r="C3" s="256" t="s">
        <v>16</v>
      </c>
      <c r="D3" s="257"/>
      <c r="E3" s="257"/>
      <c r="F3" s="256" t="s">
        <v>87</v>
      </c>
      <c r="G3" s="257"/>
      <c r="H3" s="257"/>
      <c r="I3" s="257" t="s">
        <v>86</v>
      </c>
      <c r="J3" s="257"/>
      <c r="K3" s="257"/>
      <c r="L3" s="257" t="s">
        <v>88</v>
      </c>
      <c r="M3" s="257"/>
      <c r="N3" s="261"/>
      <c r="O3" s="256" t="s">
        <v>87</v>
      </c>
      <c r="P3" s="257"/>
      <c r="Q3" s="257"/>
      <c r="R3" s="257" t="s">
        <v>86</v>
      </c>
      <c r="S3" s="257"/>
      <c r="T3" s="257"/>
      <c r="U3" s="257" t="s">
        <v>88</v>
      </c>
      <c r="V3" s="257"/>
      <c r="W3" s="261"/>
      <c r="X3" s="256" t="s">
        <v>16</v>
      </c>
      <c r="Y3" s="257"/>
      <c r="Z3" s="257"/>
      <c r="AA3" s="256" t="s">
        <v>87</v>
      </c>
      <c r="AB3" s="257"/>
      <c r="AC3" s="257"/>
      <c r="AD3" s="257" t="s">
        <v>86</v>
      </c>
      <c r="AE3" s="257"/>
      <c r="AF3" s="257"/>
      <c r="AG3" s="257" t="s">
        <v>88</v>
      </c>
      <c r="AH3" s="257"/>
      <c r="AI3" s="261"/>
      <c r="AJ3" s="256" t="s">
        <v>16</v>
      </c>
      <c r="AK3" s="257"/>
      <c r="AL3" s="257"/>
      <c r="AM3" s="256" t="s">
        <v>87</v>
      </c>
      <c r="AN3" s="257"/>
      <c r="AO3" s="257"/>
      <c r="AP3" s="257" t="s">
        <v>86</v>
      </c>
      <c r="AQ3" s="257"/>
      <c r="AR3" s="257"/>
      <c r="AS3" s="257" t="s">
        <v>88</v>
      </c>
      <c r="AT3" s="257"/>
      <c r="AU3" s="261"/>
      <c r="AV3" s="256" t="s">
        <v>16</v>
      </c>
      <c r="AW3" s="257"/>
      <c r="AX3" s="257"/>
      <c r="AY3" s="256" t="s">
        <v>87</v>
      </c>
      <c r="AZ3" s="257"/>
      <c r="BA3" s="257"/>
      <c r="BB3" s="257" t="s">
        <v>86</v>
      </c>
      <c r="BC3" s="257"/>
      <c r="BD3" s="257"/>
      <c r="BE3" s="257" t="s">
        <v>88</v>
      </c>
      <c r="BF3" s="257"/>
      <c r="BG3" s="261"/>
      <c r="BH3" s="256" t="s">
        <v>16</v>
      </c>
      <c r="BI3" s="257"/>
      <c r="BJ3" s="257"/>
      <c r="BK3" s="256" t="s">
        <v>87</v>
      </c>
      <c r="BL3" s="257"/>
      <c r="BM3" s="257"/>
      <c r="BN3" s="257" t="s">
        <v>86</v>
      </c>
      <c r="BO3" s="257"/>
      <c r="BP3" s="257"/>
      <c r="BQ3" s="257" t="s">
        <v>88</v>
      </c>
      <c r="BR3" s="257"/>
      <c r="BS3" s="261"/>
      <c r="BT3" s="256" t="s">
        <v>16</v>
      </c>
      <c r="BU3" s="257"/>
      <c r="BV3" s="257"/>
      <c r="BW3" s="256" t="s">
        <v>87</v>
      </c>
      <c r="BX3" s="257"/>
      <c r="BY3" s="257"/>
      <c r="BZ3" s="257" t="s">
        <v>86</v>
      </c>
      <c r="CA3" s="257"/>
      <c r="CB3" s="257"/>
      <c r="CC3" s="257" t="s">
        <v>88</v>
      </c>
      <c r="CD3" s="257"/>
      <c r="CE3" s="261"/>
      <c r="CF3" s="256" t="s">
        <v>16</v>
      </c>
      <c r="CG3" s="257"/>
      <c r="CH3" s="257"/>
      <c r="CI3" s="256" t="s">
        <v>87</v>
      </c>
      <c r="CJ3" s="257"/>
      <c r="CK3" s="257"/>
      <c r="CL3" s="257" t="s">
        <v>86</v>
      </c>
      <c r="CM3" s="257"/>
      <c r="CN3" s="257"/>
      <c r="CO3" s="257" t="s">
        <v>88</v>
      </c>
      <c r="CP3" s="257"/>
      <c r="CQ3" s="261"/>
    </row>
    <row r="4" spans="2:96" ht="24.75" thickBot="1">
      <c r="B4" s="54"/>
      <c r="C4" s="62" t="s">
        <v>14</v>
      </c>
      <c r="D4" s="65" t="s">
        <v>15</v>
      </c>
      <c r="E4" s="57" t="s">
        <v>16</v>
      </c>
      <c r="F4" s="62" t="s">
        <v>14</v>
      </c>
      <c r="G4" s="65" t="s">
        <v>15</v>
      </c>
      <c r="H4" s="57" t="s">
        <v>16</v>
      </c>
      <c r="I4" s="62" t="s">
        <v>14</v>
      </c>
      <c r="J4" s="65" t="s">
        <v>15</v>
      </c>
      <c r="K4" s="57" t="s">
        <v>16</v>
      </c>
      <c r="L4" s="62" t="s">
        <v>14</v>
      </c>
      <c r="M4" s="65" t="s">
        <v>15</v>
      </c>
      <c r="N4" s="57" t="s">
        <v>16</v>
      </c>
      <c r="O4" s="62" t="s">
        <v>14</v>
      </c>
      <c r="P4" s="65" t="s">
        <v>15</v>
      </c>
      <c r="Q4" s="70"/>
      <c r="R4" s="62" t="s">
        <v>14</v>
      </c>
      <c r="S4" s="65" t="s">
        <v>15</v>
      </c>
      <c r="T4" s="57" t="s">
        <v>16</v>
      </c>
      <c r="U4" s="62" t="s">
        <v>14</v>
      </c>
      <c r="V4" s="65" t="s">
        <v>15</v>
      </c>
      <c r="W4" s="57" t="s">
        <v>16</v>
      </c>
      <c r="X4" s="62" t="s">
        <v>14</v>
      </c>
      <c r="Y4" s="65" t="s">
        <v>15</v>
      </c>
      <c r="Z4" s="57" t="s">
        <v>16</v>
      </c>
      <c r="AA4" s="62" t="s">
        <v>14</v>
      </c>
      <c r="AB4" s="65" t="s">
        <v>15</v>
      </c>
      <c r="AC4" s="57" t="s">
        <v>16</v>
      </c>
      <c r="AD4" s="62" t="s">
        <v>14</v>
      </c>
      <c r="AE4" s="65" t="s">
        <v>15</v>
      </c>
      <c r="AF4" s="57" t="s">
        <v>16</v>
      </c>
      <c r="AG4" s="62" t="s">
        <v>14</v>
      </c>
      <c r="AH4" s="65" t="s">
        <v>15</v>
      </c>
      <c r="AI4" s="57" t="s">
        <v>16</v>
      </c>
      <c r="AJ4" s="62" t="s">
        <v>14</v>
      </c>
      <c r="AK4" s="65" t="s">
        <v>15</v>
      </c>
      <c r="AL4" s="57" t="s">
        <v>16</v>
      </c>
      <c r="AM4" s="62" t="s">
        <v>14</v>
      </c>
      <c r="AN4" s="65" t="s">
        <v>15</v>
      </c>
      <c r="AO4" s="57" t="s">
        <v>16</v>
      </c>
      <c r="AP4" s="62" t="s">
        <v>14</v>
      </c>
      <c r="AQ4" s="65" t="s">
        <v>15</v>
      </c>
      <c r="AR4" s="57" t="s">
        <v>16</v>
      </c>
      <c r="AS4" s="62" t="s">
        <v>14</v>
      </c>
      <c r="AT4" s="65" t="s">
        <v>15</v>
      </c>
      <c r="AU4" s="57" t="s">
        <v>16</v>
      </c>
      <c r="AV4" s="62" t="s">
        <v>14</v>
      </c>
      <c r="AW4" s="65" t="s">
        <v>15</v>
      </c>
      <c r="AX4" s="57" t="s">
        <v>16</v>
      </c>
      <c r="AY4" s="62" t="s">
        <v>14</v>
      </c>
      <c r="AZ4" s="65" t="s">
        <v>15</v>
      </c>
      <c r="BA4" s="57" t="s">
        <v>16</v>
      </c>
      <c r="BB4" s="62" t="s">
        <v>14</v>
      </c>
      <c r="BC4" s="65" t="s">
        <v>15</v>
      </c>
      <c r="BD4" s="57" t="s">
        <v>16</v>
      </c>
      <c r="BE4" s="62" t="s">
        <v>14</v>
      </c>
      <c r="BF4" s="65" t="s">
        <v>15</v>
      </c>
      <c r="BG4" s="57" t="s">
        <v>16</v>
      </c>
      <c r="BH4" s="62" t="s">
        <v>14</v>
      </c>
      <c r="BI4" s="65" t="s">
        <v>15</v>
      </c>
      <c r="BJ4" s="57" t="s">
        <v>16</v>
      </c>
      <c r="BK4" s="62" t="s">
        <v>14</v>
      </c>
      <c r="BL4" s="65" t="s">
        <v>15</v>
      </c>
      <c r="BM4" s="57" t="s">
        <v>16</v>
      </c>
      <c r="BN4" s="62" t="s">
        <v>14</v>
      </c>
      <c r="BO4" s="65" t="s">
        <v>15</v>
      </c>
      <c r="BP4" s="57" t="s">
        <v>16</v>
      </c>
      <c r="BQ4" s="62" t="s">
        <v>14</v>
      </c>
      <c r="BR4" s="65" t="s">
        <v>15</v>
      </c>
      <c r="BS4" s="57" t="s">
        <v>16</v>
      </c>
      <c r="BT4" s="62" t="s">
        <v>14</v>
      </c>
      <c r="BU4" s="65" t="s">
        <v>15</v>
      </c>
      <c r="BV4" s="57" t="s">
        <v>16</v>
      </c>
      <c r="BW4" s="62" t="s">
        <v>14</v>
      </c>
      <c r="BX4" s="65" t="s">
        <v>15</v>
      </c>
      <c r="BY4" s="57" t="s">
        <v>16</v>
      </c>
      <c r="BZ4" s="62" t="s">
        <v>14</v>
      </c>
      <c r="CA4" s="65" t="s">
        <v>15</v>
      </c>
      <c r="CB4" s="57" t="s">
        <v>16</v>
      </c>
      <c r="CC4" s="62" t="s">
        <v>14</v>
      </c>
      <c r="CD4" s="65" t="s">
        <v>15</v>
      </c>
      <c r="CE4" s="57" t="s">
        <v>16</v>
      </c>
      <c r="CF4" s="62" t="s">
        <v>14</v>
      </c>
      <c r="CG4" s="65" t="s">
        <v>15</v>
      </c>
      <c r="CH4" s="57" t="s">
        <v>16</v>
      </c>
      <c r="CI4" s="62" t="s">
        <v>14</v>
      </c>
      <c r="CJ4" s="65" t="s">
        <v>15</v>
      </c>
      <c r="CK4" s="57" t="s">
        <v>16</v>
      </c>
      <c r="CL4" s="62" t="s">
        <v>14</v>
      </c>
      <c r="CM4" s="65" t="s">
        <v>15</v>
      </c>
      <c r="CN4" s="57" t="s">
        <v>16</v>
      </c>
      <c r="CO4" s="62" t="s">
        <v>14</v>
      </c>
      <c r="CP4" s="65" t="s">
        <v>15</v>
      </c>
      <c r="CQ4" s="57" t="s">
        <v>16</v>
      </c>
    </row>
    <row r="5" spans="2:96" ht="24.75" thickBot="1">
      <c r="B5" s="53" t="s">
        <v>418</v>
      </c>
      <c r="C5" s="63">
        <f>SUM(C6:C55)</f>
        <v>2695</v>
      </c>
      <c r="D5" s="66">
        <f>SUM(D6:D55)</f>
        <v>2837</v>
      </c>
      <c r="E5" s="58">
        <f>C5+D5</f>
        <v>5532</v>
      </c>
      <c r="F5" s="63">
        <f>SUM(F6:F55)</f>
        <v>890</v>
      </c>
      <c r="G5" s="66">
        <f>SUM(G6:G55)</f>
        <v>633</v>
      </c>
      <c r="H5" s="58">
        <f>F5+G5</f>
        <v>1523</v>
      </c>
      <c r="I5" s="63">
        <f>SUM(I6:I55)</f>
        <v>894</v>
      </c>
      <c r="J5" s="66">
        <f>SUM(J6:J55)</f>
        <v>797</v>
      </c>
      <c r="K5" s="58">
        <f>I5+J5</f>
        <v>1691</v>
      </c>
      <c r="L5" s="63">
        <f>SUM(L6:L55)</f>
        <v>911</v>
      </c>
      <c r="M5" s="66">
        <f>SUM(M6:M55)</f>
        <v>1407</v>
      </c>
      <c r="N5" s="58">
        <f>L5+M5</f>
        <v>2318</v>
      </c>
      <c r="O5" s="63">
        <f>SUM(O6:O55)</f>
        <v>0</v>
      </c>
      <c r="P5" s="66">
        <f>SUM(P6:P55)</f>
        <v>0</v>
      </c>
      <c r="Q5" s="68"/>
      <c r="R5" s="63">
        <f>SUM(R6:R55)</f>
        <v>0</v>
      </c>
      <c r="S5" s="66">
        <f>SUM(S6:S55)</f>
        <v>0</v>
      </c>
      <c r="T5" s="68"/>
      <c r="U5" s="63">
        <f>SUM(U6:U55)</f>
        <v>0</v>
      </c>
      <c r="V5" s="66">
        <f>SUM(V6:V55)</f>
        <v>0</v>
      </c>
      <c r="W5" s="68"/>
      <c r="X5" s="63">
        <f>SUM(X6:X55)</f>
        <v>3478</v>
      </c>
      <c r="Y5" s="66">
        <f>SUM(Y6:Y55)</f>
        <v>5560</v>
      </c>
      <c r="Z5" s="58">
        <f>X5+Y5</f>
        <v>9038</v>
      </c>
      <c r="AA5" s="63">
        <f>SUM(AA6:AA55)</f>
        <v>937</v>
      </c>
      <c r="AB5" s="66">
        <f>SUM(AB6:AB55)</f>
        <v>908</v>
      </c>
      <c r="AC5" s="58">
        <f>AA5+AB5</f>
        <v>1845</v>
      </c>
      <c r="AD5" s="63">
        <f>SUM(AD6:AD55)</f>
        <v>1197</v>
      </c>
      <c r="AE5" s="66">
        <f>SUM(AE6:AE55)</f>
        <v>1631</v>
      </c>
      <c r="AF5" s="58">
        <f>AD5+AE5</f>
        <v>2828</v>
      </c>
      <c r="AG5" s="63">
        <f>SUM(AG6:AG55)</f>
        <v>1344</v>
      </c>
      <c r="AH5" s="66">
        <f>SUM(AH6:AH55)</f>
        <v>3021</v>
      </c>
      <c r="AI5" s="58">
        <f>AG5+AH5</f>
        <v>4365</v>
      </c>
      <c r="AJ5" s="63">
        <f>SUM(AJ6:AJ55)</f>
        <v>966</v>
      </c>
      <c r="AK5" s="66">
        <f>SUM(AK6:AK55)</f>
        <v>1713</v>
      </c>
      <c r="AL5" s="58">
        <f>AJ5+AK5</f>
        <v>2679</v>
      </c>
      <c r="AM5" s="63">
        <f>SUM(AM6:AM55)</f>
        <v>256</v>
      </c>
      <c r="AN5" s="66">
        <f>SUM(AN6:AN55)</f>
        <v>328</v>
      </c>
      <c r="AO5" s="58">
        <f>AM5+AN5</f>
        <v>584</v>
      </c>
      <c r="AP5" s="63">
        <f>SUM(AP6:AP55)</f>
        <v>375</v>
      </c>
      <c r="AQ5" s="66">
        <f>SUM(AQ6:AQ55)</f>
        <v>547</v>
      </c>
      <c r="AR5" s="58">
        <f>AP5+AQ5</f>
        <v>922</v>
      </c>
      <c r="AS5" s="63">
        <f>SUM(AS6:AS55)</f>
        <v>335</v>
      </c>
      <c r="AT5" s="66">
        <f>SUM(AT6:AT55)</f>
        <v>838</v>
      </c>
      <c r="AU5" s="58">
        <f>AS5+AT5</f>
        <v>1173</v>
      </c>
      <c r="AV5" s="63">
        <f>SUM(AV6:AV55)</f>
        <v>256351</v>
      </c>
      <c r="AW5" s="66">
        <f>SUM(AW6:AW55)</f>
        <v>470883</v>
      </c>
      <c r="AX5" s="58">
        <f t="shared" ref="AX5:AX55" si="0">AV5+AW5</f>
        <v>727234</v>
      </c>
      <c r="AY5" s="63">
        <f>SUM(AY6:AY55)</f>
        <v>163396</v>
      </c>
      <c r="AZ5" s="66">
        <f>SUM(AZ6:AZ55)</f>
        <v>320818</v>
      </c>
      <c r="BA5" s="58">
        <f t="shared" ref="BA5:BA55" si="1">AY5+AZ5</f>
        <v>484214</v>
      </c>
      <c r="BB5" s="63">
        <f>SUM(BB6:BB55)</f>
        <v>68514</v>
      </c>
      <c r="BC5" s="66">
        <f>SUM(BC6:BC55)</f>
        <v>100772</v>
      </c>
      <c r="BD5" s="58">
        <f t="shared" ref="BD5:BD55" si="2">BB5+BC5</f>
        <v>169286</v>
      </c>
      <c r="BE5" s="63">
        <f>SUM(BE6:BE55)</f>
        <v>24441</v>
      </c>
      <c r="BF5" s="66">
        <f>SUM(BF6:BF55)</f>
        <v>49293</v>
      </c>
      <c r="BG5" s="58">
        <f t="shared" ref="BG5:BG55" si="3">BE5+BF5</f>
        <v>73734</v>
      </c>
      <c r="BH5" s="63">
        <f>SUM(BH6:BH55)</f>
        <v>12363</v>
      </c>
      <c r="BI5" s="66">
        <f>SUM(BI6:BI55)</f>
        <v>15055</v>
      </c>
      <c r="BJ5" s="58">
        <f t="shared" ref="BJ5:BJ55" si="4">BH5+BI5</f>
        <v>27418</v>
      </c>
      <c r="BK5" s="63">
        <f>SUM(BK6:BK55)</f>
        <v>5801</v>
      </c>
      <c r="BL5" s="66">
        <f>SUM(BL6:BL55)</f>
        <v>5657</v>
      </c>
      <c r="BM5" s="58">
        <f t="shared" ref="BM5:BM55" si="5">BK5+BL5</f>
        <v>11458</v>
      </c>
      <c r="BN5" s="63">
        <f>SUM(BN6:BN55)</f>
        <v>4156</v>
      </c>
      <c r="BO5" s="66">
        <f>SUM(BO6:BO55)</f>
        <v>5054</v>
      </c>
      <c r="BP5" s="58">
        <f t="shared" ref="BP5:BP55" si="6">BN5+BO5</f>
        <v>9210</v>
      </c>
      <c r="BQ5" s="63">
        <f>SUM(BQ6:BQ55)</f>
        <v>2406</v>
      </c>
      <c r="BR5" s="66">
        <f>SUM(BR6:BR55)</f>
        <v>4344</v>
      </c>
      <c r="BS5" s="58">
        <f t="shared" ref="BS5:BS55" si="7">BQ5+BR5</f>
        <v>6750</v>
      </c>
      <c r="BT5" s="63">
        <f>SUM(BT6:BT55)</f>
        <v>17135</v>
      </c>
      <c r="BU5" s="66">
        <f>SUM(BU6:BU55)</f>
        <v>27638</v>
      </c>
      <c r="BV5" s="58">
        <f t="shared" ref="BV5:BV55" si="8">BT5+BU5</f>
        <v>44773</v>
      </c>
      <c r="BW5" s="63">
        <f>SUM(BW6:BW55)</f>
        <v>11384</v>
      </c>
      <c r="BX5" s="66">
        <f>SUM(BX6:BX55)</f>
        <v>17781</v>
      </c>
      <c r="BY5" s="58">
        <f t="shared" ref="BY5:BY55" si="9">BW5+BX5</f>
        <v>29165</v>
      </c>
      <c r="BZ5" s="63">
        <f>SUM(BZ6:BZ55)</f>
        <v>4443</v>
      </c>
      <c r="CA5" s="66">
        <f>SUM(CA6:CA55)</f>
        <v>7065</v>
      </c>
      <c r="CB5" s="58">
        <f t="shared" ref="CB5:CB55" si="10">BZ5+CA5</f>
        <v>11508</v>
      </c>
      <c r="CC5" s="63">
        <f>SUM(CC6:CC55)</f>
        <v>1308</v>
      </c>
      <c r="CD5" s="66">
        <f>SUM(CD6:CD55)</f>
        <v>2792</v>
      </c>
      <c r="CE5" s="58">
        <f t="shared" ref="CE5:CE55" si="11">CC5+CD5</f>
        <v>4100</v>
      </c>
      <c r="CF5" s="63">
        <f>SUM(CF6:CF55)</f>
        <v>739</v>
      </c>
      <c r="CG5" s="66">
        <f>SUM(CG6:CG55)</f>
        <v>978</v>
      </c>
      <c r="CH5" s="58">
        <f t="shared" ref="CH5:CH55" si="12">CF5+CG5</f>
        <v>1717</v>
      </c>
      <c r="CI5" s="63">
        <f>SUM(CI6:CI55)</f>
        <v>472</v>
      </c>
      <c r="CJ5" s="66">
        <f>SUM(CJ6:CJ55)</f>
        <v>582</v>
      </c>
      <c r="CK5" s="58">
        <f t="shared" ref="CK5:CK55" si="13">CI5+CJ5</f>
        <v>1054</v>
      </c>
      <c r="CL5" s="63">
        <f>SUM(CL6:CL55)</f>
        <v>211</v>
      </c>
      <c r="CM5" s="66">
        <f>SUM(CM6:CM55)</f>
        <v>310</v>
      </c>
      <c r="CN5" s="58">
        <f t="shared" ref="CN5:CN55" si="14">CL5+CM5</f>
        <v>521</v>
      </c>
      <c r="CO5" s="63">
        <f>SUM(CO6:CO55)</f>
        <v>56</v>
      </c>
      <c r="CP5" s="66">
        <f>SUM(CP6:CP55)</f>
        <v>86</v>
      </c>
      <c r="CQ5" s="58">
        <f t="shared" ref="CQ5:CQ55" si="15">CO5+CP5</f>
        <v>142</v>
      </c>
    </row>
    <row r="6" spans="2:96">
      <c r="B6" s="59" t="s">
        <v>18</v>
      </c>
      <c r="C6" s="64">
        <f>F6+I6+L6</f>
        <v>8</v>
      </c>
      <c r="D6" s="67">
        <f>G6+J6+M6</f>
        <v>11</v>
      </c>
      <c r="E6" s="60">
        <f>C6+D6</f>
        <v>19</v>
      </c>
      <c r="F6" s="64">
        <v>1</v>
      </c>
      <c r="G6" s="67">
        <v>2</v>
      </c>
      <c r="H6" s="60">
        <f>F6+G6</f>
        <v>3</v>
      </c>
      <c r="I6" s="64">
        <v>4</v>
      </c>
      <c r="J6" s="67">
        <v>3</v>
      </c>
      <c r="K6" s="60">
        <f>I6+J6</f>
        <v>7</v>
      </c>
      <c r="L6" s="64">
        <v>3</v>
      </c>
      <c r="M6" s="67">
        <v>6</v>
      </c>
      <c r="N6" s="60">
        <f>L6+M6</f>
        <v>9</v>
      </c>
      <c r="O6" s="64"/>
      <c r="P6" s="67"/>
      <c r="Q6" s="69"/>
      <c r="R6" s="64"/>
      <c r="S6" s="67"/>
      <c r="T6" s="69"/>
      <c r="U6" s="64"/>
      <c r="V6" s="67"/>
      <c r="W6" s="69"/>
      <c r="X6" s="64">
        <f>AA6+AD6+AG6</f>
        <v>43</v>
      </c>
      <c r="Y6" s="67">
        <f>AB6+AE6+AH6</f>
        <v>70</v>
      </c>
      <c r="Z6" s="60">
        <f>X6+Y6</f>
        <v>113</v>
      </c>
      <c r="AA6" s="64">
        <f>VLOOKUP($B6,[1]Sheet1!$B$4:$O$55,3,FALSE)</f>
        <v>15</v>
      </c>
      <c r="AB6" s="67">
        <f>VLOOKUP($B6,[1]Sheet1!$B$4:$O$55,4,FALSE)</f>
        <v>11</v>
      </c>
      <c r="AC6" s="60">
        <f>AA6+AB6</f>
        <v>26</v>
      </c>
      <c r="AD6" s="64">
        <f>VLOOKUP($B6,[1]Sheet1!$B$4:$O$55,6,FALSE)</f>
        <v>10</v>
      </c>
      <c r="AE6" s="67">
        <f>VLOOKUP($B6,[1]Sheet1!$B$4:$O$55,7,FALSE)</f>
        <v>19</v>
      </c>
      <c r="AF6" s="60">
        <f>AD6+AE6</f>
        <v>29</v>
      </c>
      <c r="AG6" s="64">
        <f>VLOOKUP($B6,[1]Sheet1!$B$4:$O$55,9,FALSE)</f>
        <v>18</v>
      </c>
      <c r="AH6" s="67">
        <f>VLOOKUP($B6,[1]Sheet1!$B$4:$O$55,10,FALSE)</f>
        <v>40</v>
      </c>
      <c r="AI6" s="60">
        <f>AG6+AH6</f>
        <v>58</v>
      </c>
      <c r="AJ6" s="64">
        <f>AM6+AP6+AS6</f>
        <v>8</v>
      </c>
      <c r="AK6" s="67">
        <f>AN6+AQ6+AT6</f>
        <v>13</v>
      </c>
      <c r="AL6" s="60">
        <f>AJ6+AK6</f>
        <v>21</v>
      </c>
      <c r="AM6" s="64">
        <f>VLOOKUP($B6,[1]Sheet2!$B$4:$O$55,3,FALSE)</f>
        <v>3</v>
      </c>
      <c r="AN6" s="67">
        <f>VLOOKUP($B6,[1]Sheet2!$B$4:$O$55,4,FALSE)</f>
        <v>2</v>
      </c>
      <c r="AO6" s="60">
        <f>AM6+AN6</f>
        <v>5</v>
      </c>
      <c r="AP6" s="64">
        <f>VLOOKUP($B6,[1]Sheet2!$B$4:$O$55,6,FALSE)</f>
        <v>3</v>
      </c>
      <c r="AQ6" s="67">
        <f>VLOOKUP($B6,[1]Sheet2!$B$4:$O$55,7,FALSE)</f>
        <v>1</v>
      </c>
      <c r="AR6" s="60">
        <f>AP6+AQ6</f>
        <v>4</v>
      </c>
      <c r="AS6" s="64">
        <f>VLOOKUP($B6,[1]Sheet2!$B$4:$O$55,9,FALSE)</f>
        <v>2</v>
      </c>
      <c r="AT6" s="67">
        <f>VLOOKUP($B6,[1]Sheet2!$B$4:$O$55,10,FALSE)</f>
        <v>10</v>
      </c>
      <c r="AU6" s="60">
        <f>AS6+AT6</f>
        <v>12</v>
      </c>
      <c r="AV6" s="64">
        <f t="shared" ref="AV6:AW21" si="16">AY6+BB6+BE6</f>
        <v>3813</v>
      </c>
      <c r="AW6" s="67">
        <f t="shared" si="16"/>
        <v>5786</v>
      </c>
      <c r="AX6" s="60">
        <f t="shared" si="0"/>
        <v>9599</v>
      </c>
      <c r="AY6" s="64">
        <v>2298</v>
      </c>
      <c r="AZ6" s="67">
        <v>3074</v>
      </c>
      <c r="BA6" s="60">
        <f t="shared" si="1"/>
        <v>5372</v>
      </c>
      <c r="BB6" s="64">
        <v>1088</v>
      </c>
      <c r="BC6" s="67">
        <v>1715</v>
      </c>
      <c r="BD6" s="60">
        <f t="shared" si="2"/>
        <v>2803</v>
      </c>
      <c r="BE6" s="64">
        <v>427</v>
      </c>
      <c r="BF6" s="67">
        <v>997</v>
      </c>
      <c r="BG6" s="60">
        <f t="shared" si="3"/>
        <v>1424</v>
      </c>
      <c r="BH6" s="64">
        <f t="shared" ref="BH6:BI21" si="17">BK6+BN6+BQ6</f>
        <v>187</v>
      </c>
      <c r="BI6" s="67">
        <f t="shared" si="17"/>
        <v>213</v>
      </c>
      <c r="BJ6" s="60">
        <f t="shared" si="4"/>
        <v>400</v>
      </c>
      <c r="BK6" s="64">
        <v>95</v>
      </c>
      <c r="BL6" s="67">
        <v>68</v>
      </c>
      <c r="BM6" s="60">
        <f t="shared" si="5"/>
        <v>163</v>
      </c>
      <c r="BN6" s="64">
        <v>52</v>
      </c>
      <c r="BO6" s="67">
        <v>69</v>
      </c>
      <c r="BP6" s="60">
        <f t="shared" si="6"/>
        <v>121</v>
      </c>
      <c r="BQ6" s="64">
        <v>40</v>
      </c>
      <c r="BR6" s="67">
        <v>76</v>
      </c>
      <c r="BS6" s="60">
        <f t="shared" si="7"/>
        <v>116</v>
      </c>
      <c r="BT6" s="64">
        <f t="shared" ref="BT6:BU21" si="18">BW6+BZ6+CC6</f>
        <v>0</v>
      </c>
      <c r="BU6" s="67">
        <f t="shared" si="18"/>
        <v>0</v>
      </c>
      <c r="BV6" s="60">
        <f t="shared" si="8"/>
        <v>0</v>
      </c>
      <c r="BW6" s="64"/>
      <c r="BX6" s="67"/>
      <c r="BY6" s="60">
        <f t="shared" si="9"/>
        <v>0</v>
      </c>
      <c r="BZ6" s="64"/>
      <c r="CA6" s="67"/>
      <c r="CB6" s="60">
        <f t="shared" si="10"/>
        <v>0</v>
      </c>
      <c r="CC6" s="64"/>
      <c r="CD6" s="67"/>
      <c r="CE6" s="60">
        <f t="shared" si="11"/>
        <v>0</v>
      </c>
      <c r="CF6" s="64">
        <f t="shared" ref="CF6:CG21" si="19">CI6+CL6+CO6</f>
        <v>0</v>
      </c>
      <c r="CG6" s="67">
        <f t="shared" si="19"/>
        <v>0</v>
      </c>
      <c r="CH6" s="60">
        <f t="shared" si="12"/>
        <v>0</v>
      </c>
      <c r="CI6" s="64"/>
      <c r="CJ6" s="67"/>
      <c r="CK6" s="60">
        <f t="shared" si="13"/>
        <v>0</v>
      </c>
      <c r="CL6" s="64"/>
      <c r="CM6" s="67"/>
      <c r="CN6" s="60">
        <f t="shared" si="14"/>
        <v>0</v>
      </c>
      <c r="CO6" s="64"/>
      <c r="CP6" s="67"/>
      <c r="CQ6" s="60">
        <f t="shared" si="15"/>
        <v>0</v>
      </c>
    </row>
    <row r="7" spans="2:96">
      <c r="B7" s="61" t="s">
        <v>33</v>
      </c>
      <c r="C7" s="64">
        <f t="shared" ref="C7:D55" si="20">F7+I7+L7</f>
        <v>18</v>
      </c>
      <c r="D7" s="67">
        <f t="shared" si="20"/>
        <v>26</v>
      </c>
      <c r="E7" s="60">
        <f t="shared" ref="E7:E55" si="21">C7+D7</f>
        <v>44</v>
      </c>
      <c r="F7" s="64">
        <v>5</v>
      </c>
      <c r="G7" s="67">
        <v>5</v>
      </c>
      <c r="H7" s="60">
        <f t="shared" ref="H7:H55" si="22">F7+G7</f>
        <v>10</v>
      </c>
      <c r="I7" s="64">
        <v>5</v>
      </c>
      <c r="J7" s="67">
        <v>4</v>
      </c>
      <c r="K7" s="60">
        <f t="shared" ref="K7:K55" si="23">I7+J7</f>
        <v>9</v>
      </c>
      <c r="L7" s="64">
        <v>8</v>
      </c>
      <c r="M7" s="67">
        <v>17</v>
      </c>
      <c r="N7" s="60">
        <f t="shared" ref="N7:N55" si="24">L7+M7</f>
        <v>25</v>
      </c>
      <c r="O7" s="64" t="s">
        <v>378</v>
      </c>
      <c r="P7" s="67" t="s">
        <v>97</v>
      </c>
      <c r="Q7" s="69"/>
      <c r="R7" s="64" t="s">
        <v>379</v>
      </c>
      <c r="S7" s="67" t="s">
        <v>380</v>
      </c>
      <c r="T7" s="69"/>
      <c r="U7" s="64" t="s">
        <v>381</v>
      </c>
      <c r="V7" s="67" t="s">
        <v>98</v>
      </c>
      <c r="W7" s="69"/>
      <c r="X7" s="64">
        <f t="shared" ref="X7:X55" si="25">AA7+AD7+AG7</f>
        <v>84</v>
      </c>
      <c r="Y7" s="67">
        <f t="shared" ref="Y7:Y55" si="26">AB7+AE7+AH7</f>
        <v>123</v>
      </c>
      <c r="Z7" s="60">
        <f t="shared" ref="Z7:Z55" si="27">X7+Y7</f>
        <v>207</v>
      </c>
      <c r="AA7" s="64">
        <f>VLOOKUP($B7,[1]Sheet1!$B$4:$O$55,3,FALSE)</f>
        <v>18</v>
      </c>
      <c r="AB7" s="67">
        <f>VLOOKUP($B7,[1]Sheet1!$B$4:$O$55,4,FALSE)</f>
        <v>15</v>
      </c>
      <c r="AC7" s="60">
        <f t="shared" ref="AC7:AC55" si="28">AA7+AB7</f>
        <v>33</v>
      </c>
      <c r="AD7" s="64">
        <f>VLOOKUP($B7,[1]Sheet1!$B$4:$O$55,6,FALSE)</f>
        <v>27</v>
      </c>
      <c r="AE7" s="67">
        <f>VLOOKUP($B7,[1]Sheet1!$B$4:$O$55,7,FALSE)</f>
        <v>41</v>
      </c>
      <c r="AF7" s="60">
        <f t="shared" ref="AF7:AF55" si="29">AD7+AE7</f>
        <v>68</v>
      </c>
      <c r="AG7" s="64">
        <f>VLOOKUP($B7,[1]Sheet1!$B$4:$O$55,9,FALSE)</f>
        <v>39</v>
      </c>
      <c r="AH7" s="67">
        <f>VLOOKUP($B7,[1]Sheet1!$B$4:$O$55,10,FALSE)</f>
        <v>67</v>
      </c>
      <c r="AI7" s="60">
        <f t="shared" ref="AI7:AI55" si="30">AG7+AH7</f>
        <v>106</v>
      </c>
      <c r="AJ7" s="64">
        <f t="shared" ref="AJ7:AJ55" si="31">AM7+AP7+AS7</f>
        <v>18</v>
      </c>
      <c r="AK7" s="67">
        <f t="shared" ref="AK7:AK55" si="32">AN7+AQ7+AT7</f>
        <v>34</v>
      </c>
      <c r="AL7" s="60">
        <f t="shared" ref="AL7:AL55" si="33">AJ7+AK7</f>
        <v>52</v>
      </c>
      <c r="AM7" s="64">
        <f>VLOOKUP($B7,[1]Sheet2!$B$4:$O$55,3,FALSE)</f>
        <v>6</v>
      </c>
      <c r="AN7" s="67">
        <f>VLOOKUP($B7,[1]Sheet2!$B$4:$O$55,4,FALSE)</f>
        <v>5</v>
      </c>
      <c r="AO7" s="60">
        <f t="shared" ref="AO7:AO55" si="34">AM7+AN7</f>
        <v>11</v>
      </c>
      <c r="AP7" s="64">
        <f>VLOOKUP($B7,[1]Sheet2!$B$4:$O$55,6,FALSE)</f>
        <v>5</v>
      </c>
      <c r="AQ7" s="67">
        <f>VLOOKUP($B7,[1]Sheet2!$B$4:$O$55,7,FALSE)</f>
        <v>9</v>
      </c>
      <c r="AR7" s="60">
        <f t="shared" ref="AR7:AR55" si="35">AP7+AQ7</f>
        <v>14</v>
      </c>
      <c r="AS7" s="64">
        <f>VLOOKUP($B7,[1]Sheet2!$B$4:$O$55,9,FALSE)</f>
        <v>7</v>
      </c>
      <c r="AT7" s="67">
        <f>VLOOKUP($B7,[1]Sheet2!$B$4:$O$55,10,FALSE)</f>
        <v>20</v>
      </c>
      <c r="AU7" s="60">
        <f t="shared" ref="AU7:AU55" si="36">AS7+AT7</f>
        <v>27</v>
      </c>
      <c r="AV7" s="64">
        <f t="shared" si="16"/>
        <v>4143</v>
      </c>
      <c r="AW7" s="67">
        <f t="shared" si="16"/>
        <v>7008</v>
      </c>
      <c r="AX7" s="60">
        <f t="shared" si="0"/>
        <v>11151</v>
      </c>
      <c r="AY7" s="64">
        <v>2513</v>
      </c>
      <c r="AZ7" s="67">
        <v>3772</v>
      </c>
      <c r="BA7" s="60">
        <f t="shared" si="1"/>
        <v>6285</v>
      </c>
      <c r="BB7" s="64">
        <v>1159</v>
      </c>
      <c r="BC7" s="67">
        <v>2029</v>
      </c>
      <c r="BD7" s="60">
        <f t="shared" si="2"/>
        <v>3188</v>
      </c>
      <c r="BE7" s="64">
        <v>471</v>
      </c>
      <c r="BF7" s="67">
        <v>1207</v>
      </c>
      <c r="BG7" s="60">
        <f t="shared" si="3"/>
        <v>1678</v>
      </c>
      <c r="BH7" s="64">
        <f t="shared" si="17"/>
        <v>364</v>
      </c>
      <c r="BI7" s="67">
        <f t="shared" si="17"/>
        <v>434</v>
      </c>
      <c r="BJ7" s="60">
        <f t="shared" si="4"/>
        <v>798</v>
      </c>
      <c r="BK7" s="64">
        <v>170</v>
      </c>
      <c r="BL7" s="67">
        <v>141</v>
      </c>
      <c r="BM7" s="60">
        <f t="shared" si="5"/>
        <v>311</v>
      </c>
      <c r="BN7" s="64">
        <v>117</v>
      </c>
      <c r="BO7" s="67">
        <v>132</v>
      </c>
      <c r="BP7" s="60">
        <f t="shared" si="6"/>
        <v>249</v>
      </c>
      <c r="BQ7" s="64">
        <v>77</v>
      </c>
      <c r="BR7" s="67">
        <v>161</v>
      </c>
      <c r="BS7" s="60">
        <f t="shared" si="7"/>
        <v>238</v>
      </c>
      <c r="BT7" s="64">
        <f t="shared" si="18"/>
        <v>66</v>
      </c>
      <c r="BU7" s="67">
        <f t="shared" si="18"/>
        <v>96</v>
      </c>
      <c r="BV7" s="60">
        <f t="shared" si="8"/>
        <v>162</v>
      </c>
      <c r="BW7" s="64">
        <v>39</v>
      </c>
      <c r="BX7" s="67">
        <v>58</v>
      </c>
      <c r="BY7" s="60">
        <f t="shared" si="9"/>
        <v>97</v>
      </c>
      <c r="BZ7" s="64">
        <v>21</v>
      </c>
      <c r="CA7" s="67">
        <v>25</v>
      </c>
      <c r="CB7" s="60">
        <f t="shared" si="10"/>
        <v>46</v>
      </c>
      <c r="CC7" s="64">
        <v>6</v>
      </c>
      <c r="CD7" s="67">
        <v>13</v>
      </c>
      <c r="CE7" s="60">
        <f t="shared" si="11"/>
        <v>19</v>
      </c>
      <c r="CF7" s="64">
        <f t="shared" si="19"/>
        <v>0</v>
      </c>
      <c r="CG7" s="67">
        <f t="shared" si="19"/>
        <v>0</v>
      </c>
      <c r="CH7" s="60">
        <f t="shared" si="12"/>
        <v>0</v>
      </c>
      <c r="CI7" s="64"/>
      <c r="CJ7" s="67"/>
      <c r="CK7" s="60">
        <f t="shared" si="13"/>
        <v>0</v>
      </c>
      <c r="CL7" s="64"/>
      <c r="CM7" s="67"/>
      <c r="CN7" s="60">
        <f t="shared" si="14"/>
        <v>0</v>
      </c>
      <c r="CO7" s="64"/>
      <c r="CP7" s="67"/>
      <c r="CQ7" s="60">
        <f t="shared" si="15"/>
        <v>0</v>
      </c>
      <c r="CR7" s="56" t="s">
        <v>382</v>
      </c>
    </row>
    <row r="8" spans="2:96">
      <c r="B8" s="61" t="s">
        <v>34</v>
      </c>
      <c r="C8" s="64">
        <f t="shared" si="20"/>
        <v>0</v>
      </c>
      <c r="D8" s="67">
        <f t="shared" si="20"/>
        <v>0</v>
      </c>
      <c r="E8" s="60">
        <f t="shared" si="21"/>
        <v>0</v>
      </c>
      <c r="F8" s="64"/>
      <c r="G8" s="67"/>
      <c r="H8" s="60">
        <f t="shared" si="22"/>
        <v>0</v>
      </c>
      <c r="I8" s="64"/>
      <c r="J8" s="67"/>
      <c r="K8" s="60">
        <f t="shared" si="23"/>
        <v>0</v>
      </c>
      <c r="L8" s="64"/>
      <c r="M8" s="67"/>
      <c r="N8" s="60">
        <f t="shared" si="24"/>
        <v>0</v>
      </c>
      <c r="O8" s="64"/>
      <c r="P8" s="67"/>
      <c r="Q8" s="69"/>
      <c r="R8" s="64"/>
      <c r="S8" s="67"/>
      <c r="T8" s="69"/>
      <c r="U8" s="64"/>
      <c r="V8" s="67"/>
      <c r="W8" s="69"/>
      <c r="X8" s="64">
        <f t="shared" si="25"/>
        <v>31</v>
      </c>
      <c r="Y8" s="67">
        <f t="shared" si="26"/>
        <v>76</v>
      </c>
      <c r="Z8" s="60">
        <f t="shared" si="27"/>
        <v>107</v>
      </c>
      <c r="AA8" s="64">
        <f>VLOOKUP($B8,[1]Sheet1!$B$4:$O$55,3,FALSE)</f>
        <v>13</v>
      </c>
      <c r="AB8" s="67">
        <f>VLOOKUP($B8,[1]Sheet1!$B$4:$O$55,4,FALSE)</f>
        <v>7</v>
      </c>
      <c r="AC8" s="60">
        <f t="shared" si="28"/>
        <v>20</v>
      </c>
      <c r="AD8" s="64">
        <f>VLOOKUP($B8,[1]Sheet1!$B$4:$O$55,6,FALSE)</f>
        <v>8</v>
      </c>
      <c r="AE8" s="67">
        <f>VLOOKUP($B8,[1]Sheet1!$B$4:$O$55,7,FALSE)</f>
        <v>21</v>
      </c>
      <c r="AF8" s="60">
        <f t="shared" si="29"/>
        <v>29</v>
      </c>
      <c r="AG8" s="64">
        <f>VLOOKUP($B8,[1]Sheet1!$B$4:$O$55,9,FALSE)</f>
        <v>10</v>
      </c>
      <c r="AH8" s="67">
        <f>VLOOKUP($B8,[1]Sheet1!$B$4:$O$55,10,FALSE)</f>
        <v>48</v>
      </c>
      <c r="AI8" s="60">
        <f t="shared" si="30"/>
        <v>58</v>
      </c>
      <c r="AJ8" s="64">
        <f t="shared" si="31"/>
        <v>8</v>
      </c>
      <c r="AK8" s="67">
        <f t="shared" si="32"/>
        <v>17</v>
      </c>
      <c r="AL8" s="60">
        <f t="shared" si="33"/>
        <v>25</v>
      </c>
      <c r="AM8" s="64">
        <f>VLOOKUP($B8,[1]Sheet2!$B$4:$O$55,3,FALSE)</f>
        <v>4</v>
      </c>
      <c r="AN8" s="67">
        <f>VLOOKUP($B8,[1]Sheet2!$B$4:$O$55,4,FALSE)</f>
        <v>3</v>
      </c>
      <c r="AO8" s="60">
        <f t="shared" si="34"/>
        <v>7</v>
      </c>
      <c r="AP8" s="64">
        <f>VLOOKUP($B8,[1]Sheet2!$B$4:$O$55,6,FALSE)</f>
        <v>1</v>
      </c>
      <c r="AQ8" s="67">
        <f>VLOOKUP($B8,[1]Sheet2!$B$4:$O$55,7,FALSE)</f>
        <v>6</v>
      </c>
      <c r="AR8" s="60">
        <f t="shared" si="35"/>
        <v>7</v>
      </c>
      <c r="AS8" s="64">
        <f>VLOOKUP($B8,[1]Sheet2!$B$4:$O$55,9,FALSE)</f>
        <v>3</v>
      </c>
      <c r="AT8" s="67">
        <f>VLOOKUP($B8,[1]Sheet2!$B$4:$O$55,10,FALSE)</f>
        <v>8</v>
      </c>
      <c r="AU8" s="60">
        <f t="shared" si="36"/>
        <v>11</v>
      </c>
      <c r="AV8" s="64">
        <f t="shared" si="16"/>
        <v>3597</v>
      </c>
      <c r="AW8" s="67">
        <f t="shared" si="16"/>
        <v>5228</v>
      </c>
      <c r="AX8" s="60">
        <f t="shared" si="0"/>
        <v>8825</v>
      </c>
      <c r="AY8" s="64">
        <v>2203</v>
      </c>
      <c r="AZ8" s="67">
        <v>3010</v>
      </c>
      <c r="BA8" s="60">
        <f t="shared" si="1"/>
        <v>5213</v>
      </c>
      <c r="BB8" s="64">
        <v>1020</v>
      </c>
      <c r="BC8" s="67">
        <v>1520</v>
      </c>
      <c r="BD8" s="60">
        <f t="shared" si="2"/>
        <v>2540</v>
      </c>
      <c r="BE8" s="64">
        <v>374</v>
      </c>
      <c r="BF8" s="67">
        <v>698</v>
      </c>
      <c r="BG8" s="60">
        <f t="shared" si="3"/>
        <v>1072</v>
      </c>
      <c r="BH8" s="64">
        <f t="shared" si="17"/>
        <v>166</v>
      </c>
      <c r="BI8" s="67">
        <f t="shared" si="17"/>
        <v>177</v>
      </c>
      <c r="BJ8" s="60">
        <f t="shared" si="4"/>
        <v>343</v>
      </c>
      <c r="BK8" s="64">
        <v>89</v>
      </c>
      <c r="BL8" s="67">
        <v>68</v>
      </c>
      <c r="BM8" s="60">
        <f t="shared" si="5"/>
        <v>157</v>
      </c>
      <c r="BN8" s="64">
        <v>53</v>
      </c>
      <c r="BO8" s="67">
        <v>55</v>
      </c>
      <c r="BP8" s="60">
        <f t="shared" si="6"/>
        <v>108</v>
      </c>
      <c r="BQ8" s="64">
        <v>24</v>
      </c>
      <c r="BR8" s="67">
        <v>54</v>
      </c>
      <c r="BS8" s="60">
        <f t="shared" si="7"/>
        <v>78</v>
      </c>
      <c r="BT8" s="64">
        <f t="shared" si="18"/>
        <v>0</v>
      </c>
      <c r="BU8" s="67">
        <f t="shared" si="18"/>
        <v>0</v>
      </c>
      <c r="BV8" s="60">
        <f t="shared" si="8"/>
        <v>0</v>
      </c>
      <c r="BW8" s="64"/>
      <c r="BX8" s="67"/>
      <c r="BY8" s="60">
        <f t="shared" si="9"/>
        <v>0</v>
      </c>
      <c r="BZ8" s="64"/>
      <c r="CA8" s="67"/>
      <c r="CB8" s="60">
        <f t="shared" si="10"/>
        <v>0</v>
      </c>
      <c r="CC8" s="64"/>
      <c r="CD8" s="67"/>
      <c r="CE8" s="60">
        <f t="shared" si="11"/>
        <v>0</v>
      </c>
      <c r="CF8" s="64">
        <f t="shared" si="19"/>
        <v>0</v>
      </c>
      <c r="CG8" s="67">
        <f t="shared" si="19"/>
        <v>0</v>
      </c>
      <c r="CH8" s="60">
        <f t="shared" si="12"/>
        <v>0</v>
      </c>
      <c r="CI8" s="64"/>
      <c r="CJ8" s="67"/>
      <c r="CK8" s="60">
        <f t="shared" si="13"/>
        <v>0</v>
      </c>
      <c r="CL8" s="64"/>
      <c r="CM8" s="67"/>
      <c r="CN8" s="60">
        <f t="shared" si="14"/>
        <v>0</v>
      </c>
      <c r="CO8" s="64"/>
      <c r="CP8" s="67"/>
      <c r="CQ8" s="60">
        <f t="shared" si="15"/>
        <v>0</v>
      </c>
    </row>
    <row r="9" spans="2:96">
      <c r="B9" s="61" t="s">
        <v>35</v>
      </c>
      <c r="C9" s="64">
        <f t="shared" si="20"/>
        <v>2</v>
      </c>
      <c r="D9" s="67">
        <f t="shared" si="20"/>
        <v>2</v>
      </c>
      <c r="E9" s="60">
        <f t="shared" si="21"/>
        <v>4</v>
      </c>
      <c r="F9" s="64">
        <v>2</v>
      </c>
      <c r="G9" s="67">
        <v>0</v>
      </c>
      <c r="H9" s="60">
        <f t="shared" si="22"/>
        <v>2</v>
      </c>
      <c r="I9" s="64">
        <v>0</v>
      </c>
      <c r="J9" s="67">
        <v>1</v>
      </c>
      <c r="K9" s="60">
        <f t="shared" si="23"/>
        <v>1</v>
      </c>
      <c r="L9" s="64">
        <v>0</v>
      </c>
      <c r="M9" s="67">
        <v>1</v>
      </c>
      <c r="N9" s="60">
        <f t="shared" si="24"/>
        <v>1</v>
      </c>
      <c r="O9" s="64"/>
      <c r="P9" s="67"/>
      <c r="Q9" s="69"/>
      <c r="R9" s="64"/>
      <c r="S9" s="67"/>
      <c r="T9" s="69"/>
      <c r="U9" s="64"/>
      <c r="V9" s="67"/>
      <c r="W9" s="69"/>
      <c r="X9" s="64">
        <f t="shared" si="25"/>
        <v>11</v>
      </c>
      <c r="Y9" s="67">
        <f t="shared" si="26"/>
        <v>35</v>
      </c>
      <c r="Z9" s="60">
        <f t="shared" si="27"/>
        <v>46</v>
      </c>
      <c r="AA9" s="64">
        <f>VLOOKUP($B9,[1]Sheet1!$B$4:$O$55,3,FALSE)</f>
        <v>2</v>
      </c>
      <c r="AB9" s="67">
        <f>VLOOKUP($B9,[1]Sheet1!$B$4:$O$55,4,FALSE)</f>
        <v>1</v>
      </c>
      <c r="AC9" s="60">
        <f t="shared" si="28"/>
        <v>3</v>
      </c>
      <c r="AD9" s="64">
        <f>VLOOKUP($B9,[1]Sheet1!$B$4:$O$55,6,FALSE)</f>
        <v>4</v>
      </c>
      <c r="AE9" s="67">
        <f>VLOOKUP($B9,[1]Sheet1!$B$4:$O$55,7,FALSE)</f>
        <v>9</v>
      </c>
      <c r="AF9" s="60">
        <f t="shared" si="29"/>
        <v>13</v>
      </c>
      <c r="AG9" s="64">
        <f>VLOOKUP($B9,[1]Sheet1!$B$4:$O$55,9,FALSE)</f>
        <v>5</v>
      </c>
      <c r="AH9" s="67">
        <f>VLOOKUP($B9,[1]Sheet1!$B$4:$O$55,10,FALSE)</f>
        <v>25</v>
      </c>
      <c r="AI9" s="60">
        <f t="shared" si="30"/>
        <v>30</v>
      </c>
      <c r="AJ9" s="64">
        <f t="shared" si="31"/>
        <v>3</v>
      </c>
      <c r="AK9" s="67">
        <f t="shared" si="32"/>
        <v>13</v>
      </c>
      <c r="AL9" s="60">
        <f t="shared" si="33"/>
        <v>16</v>
      </c>
      <c r="AM9" s="64">
        <f>VLOOKUP($B9,[1]Sheet2!$B$4:$O$55,3,FALSE)</f>
        <v>0</v>
      </c>
      <c r="AN9" s="67">
        <f>VLOOKUP($B9,[1]Sheet2!$B$4:$O$55,4,FALSE)</f>
        <v>0</v>
      </c>
      <c r="AO9" s="60">
        <f t="shared" si="34"/>
        <v>0</v>
      </c>
      <c r="AP9" s="64">
        <f>VLOOKUP($B9,[1]Sheet2!$B$4:$O$55,6,FALSE)</f>
        <v>1</v>
      </c>
      <c r="AQ9" s="67">
        <f>VLOOKUP($B9,[1]Sheet2!$B$4:$O$55,7,FALSE)</f>
        <v>2</v>
      </c>
      <c r="AR9" s="60">
        <f t="shared" si="35"/>
        <v>3</v>
      </c>
      <c r="AS9" s="64">
        <f>VLOOKUP($B9,[1]Sheet2!$B$4:$O$55,9,FALSE)</f>
        <v>2</v>
      </c>
      <c r="AT9" s="67">
        <f>VLOOKUP($B9,[1]Sheet2!$B$4:$O$55,10,FALSE)</f>
        <v>11</v>
      </c>
      <c r="AU9" s="60">
        <f t="shared" si="36"/>
        <v>13</v>
      </c>
      <c r="AV9" s="64">
        <f t="shared" si="16"/>
        <v>2080</v>
      </c>
      <c r="AW9" s="67">
        <f t="shared" si="16"/>
        <v>3103</v>
      </c>
      <c r="AX9" s="60">
        <f t="shared" si="0"/>
        <v>5183</v>
      </c>
      <c r="AY9" s="64">
        <v>1294</v>
      </c>
      <c r="AZ9" s="67">
        <v>1695</v>
      </c>
      <c r="BA9" s="60">
        <f t="shared" si="1"/>
        <v>2989</v>
      </c>
      <c r="BB9" s="64">
        <v>565</v>
      </c>
      <c r="BC9" s="67">
        <v>936</v>
      </c>
      <c r="BD9" s="60">
        <f t="shared" si="2"/>
        <v>1501</v>
      </c>
      <c r="BE9" s="64">
        <v>221</v>
      </c>
      <c r="BF9" s="67">
        <v>472</v>
      </c>
      <c r="BG9" s="60">
        <f t="shared" si="3"/>
        <v>693</v>
      </c>
      <c r="BH9" s="64">
        <f t="shared" si="17"/>
        <v>70</v>
      </c>
      <c r="BI9" s="67">
        <f t="shared" si="17"/>
        <v>84</v>
      </c>
      <c r="BJ9" s="60">
        <f t="shared" si="4"/>
        <v>154</v>
      </c>
      <c r="BK9" s="64">
        <v>36</v>
      </c>
      <c r="BL9" s="67">
        <v>27</v>
      </c>
      <c r="BM9" s="60">
        <f t="shared" si="5"/>
        <v>63</v>
      </c>
      <c r="BN9" s="64">
        <v>24</v>
      </c>
      <c r="BO9" s="67">
        <v>35</v>
      </c>
      <c r="BP9" s="60">
        <f t="shared" si="6"/>
        <v>59</v>
      </c>
      <c r="BQ9" s="64">
        <v>10</v>
      </c>
      <c r="BR9" s="67">
        <v>22</v>
      </c>
      <c r="BS9" s="60">
        <f t="shared" si="7"/>
        <v>32</v>
      </c>
      <c r="BT9" s="64">
        <f t="shared" si="18"/>
        <v>0</v>
      </c>
      <c r="BU9" s="67">
        <f t="shared" si="18"/>
        <v>0</v>
      </c>
      <c r="BV9" s="60">
        <f t="shared" si="8"/>
        <v>0</v>
      </c>
      <c r="BW9" s="64"/>
      <c r="BX9" s="67"/>
      <c r="BY9" s="60">
        <f t="shared" si="9"/>
        <v>0</v>
      </c>
      <c r="BZ9" s="64"/>
      <c r="CA9" s="67"/>
      <c r="CB9" s="60">
        <f t="shared" si="10"/>
        <v>0</v>
      </c>
      <c r="CC9" s="64"/>
      <c r="CD9" s="67"/>
      <c r="CE9" s="60">
        <f t="shared" si="11"/>
        <v>0</v>
      </c>
      <c r="CF9" s="64">
        <f t="shared" si="19"/>
        <v>2</v>
      </c>
      <c r="CG9" s="67">
        <f t="shared" si="19"/>
        <v>2</v>
      </c>
      <c r="CH9" s="60">
        <f t="shared" si="12"/>
        <v>4</v>
      </c>
      <c r="CI9" s="64">
        <v>2</v>
      </c>
      <c r="CJ9" s="67">
        <v>1</v>
      </c>
      <c r="CK9" s="60">
        <f t="shared" si="13"/>
        <v>3</v>
      </c>
      <c r="CL9" s="64">
        <v>0</v>
      </c>
      <c r="CM9" s="67">
        <v>1</v>
      </c>
      <c r="CN9" s="60">
        <f t="shared" si="14"/>
        <v>1</v>
      </c>
      <c r="CO9" s="64">
        <v>0</v>
      </c>
      <c r="CP9" s="67">
        <v>0</v>
      </c>
      <c r="CQ9" s="60">
        <f t="shared" si="15"/>
        <v>0</v>
      </c>
    </row>
    <row r="10" spans="2:96">
      <c r="B10" s="61" t="s">
        <v>29</v>
      </c>
      <c r="C10" s="64">
        <f t="shared" si="20"/>
        <v>28</v>
      </c>
      <c r="D10" s="67">
        <f t="shared" si="20"/>
        <v>33</v>
      </c>
      <c r="E10" s="60">
        <f t="shared" si="21"/>
        <v>61</v>
      </c>
      <c r="F10" s="64">
        <v>12</v>
      </c>
      <c r="G10" s="67">
        <v>13</v>
      </c>
      <c r="H10" s="60">
        <f t="shared" si="22"/>
        <v>25</v>
      </c>
      <c r="I10" s="64">
        <v>8</v>
      </c>
      <c r="J10" s="67">
        <v>2</v>
      </c>
      <c r="K10" s="60">
        <f t="shared" si="23"/>
        <v>10</v>
      </c>
      <c r="L10" s="64">
        <v>8</v>
      </c>
      <c r="M10" s="67">
        <v>18</v>
      </c>
      <c r="N10" s="60">
        <f t="shared" si="24"/>
        <v>26</v>
      </c>
      <c r="O10" s="64"/>
      <c r="P10" s="67"/>
      <c r="Q10" s="69"/>
      <c r="R10" s="64"/>
      <c r="S10" s="67"/>
      <c r="T10" s="69"/>
      <c r="U10" s="64"/>
      <c r="V10" s="67"/>
      <c r="W10" s="69"/>
      <c r="X10" s="64">
        <f t="shared" si="25"/>
        <v>105</v>
      </c>
      <c r="Y10" s="67">
        <f t="shared" si="26"/>
        <v>185</v>
      </c>
      <c r="Z10" s="60">
        <f t="shared" si="27"/>
        <v>290</v>
      </c>
      <c r="AA10" s="64">
        <f>VLOOKUP($B10,[1]Sheet1!$B$4:$O$55,3,FALSE)</f>
        <v>27</v>
      </c>
      <c r="AB10" s="67">
        <f>VLOOKUP($B10,[1]Sheet1!$B$4:$O$55,4,FALSE)</f>
        <v>28</v>
      </c>
      <c r="AC10" s="60">
        <f t="shared" si="28"/>
        <v>55</v>
      </c>
      <c r="AD10" s="64">
        <f>VLOOKUP($B10,[1]Sheet1!$B$4:$O$55,6,FALSE)</f>
        <v>37</v>
      </c>
      <c r="AE10" s="67">
        <f>VLOOKUP($B10,[1]Sheet1!$B$4:$O$55,7,FALSE)</f>
        <v>43</v>
      </c>
      <c r="AF10" s="60">
        <f t="shared" si="29"/>
        <v>80</v>
      </c>
      <c r="AG10" s="64">
        <f>VLOOKUP($B10,[1]Sheet1!$B$4:$O$55,9,FALSE)</f>
        <v>41</v>
      </c>
      <c r="AH10" s="67">
        <f>VLOOKUP($B10,[1]Sheet1!$B$4:$O$55,10,FALSE)</f>
        <v>114</v>
      </c>
      <c r="AI10" s="60">
        <f t="shared" si="30"/>
        <v>155</v>
      </c>
      <c r="AJ10" s="64">
        <f t="shared" si="31"/>
        <v>30</v>
      </c>
      <c r="AK10" s="67">
        <f t="shared" si="32"/>
        <v>59</v>
      </c>
      <c r="AL10" s="60">
        <f t="shared" si="33"/>
        <v>89</v>
      </c>
      <c r="AM10" s="64">
        <f>VLOOKUP($B10,[1]Sheet2!$B$4:$O$55,3,FALSE)</f>
        <v>6</v>
      </c>
      <c r="AN10" s="67">
        <f>VLOOKUP($B10,[1]Sheet2!$B$4:$O$55,4,FALSE)</f>
        <v>9</v>
      </c>
      <c r="AO10" s="60">
        <f t="shared" si="34"/>
        <v>15</v>
      </c>
      <c r="AP10" s="64">
        <f>VLOOKUP($B10,[1]Sheet2!$B$4:$O$55,6,FALSE)</f>
        <v>12</v>
      </c>
      <c r="AQ10" s="67">
        <f>VLOOKUP($B10,[1]Sheet2!$B$4:$O$55,7,FALSE)</f>
        <v>11</v>
      </c>
      <c r="AR10" s="60">
        <f t="shared" si="35"/>
        <v>23</v>
      </c>
      <c r="AS10" s="64">
        <f>VLOOKUP($B10,[1]Sheet2!$B$4:$O$55,9,FALSE)</f>
        <v>12</v>
      </c>
      <c r="AT10" s="67">
        <f>VLOOKUP($B10,[1]Sheet2!$B$4:$O$55,10,FALSE)</f>
        <v>39</v>
      </c>
      <c r="AU10" s="60">
        <f t="shared" si="36"/>
        <v>51</v>
      </c>
      <c r="AV10" s="64">
        <f t="shared" si="16"/>
        <v>7522</v>
      </c>
      <c r="AW10" s="67">
        <f t="shared" si="16"/>
        <v>12599</v>
      </c>
      <c r="AX10" s="60">
        <f t="shared" si="0"/>
        <v>20121</v>
      </c>
      <c r="AY10" s="64">
        <v>4362</v>
      </c>
      <c r="AZ10" s="67">
        <v>6720</v>
      </c>
      <c r="BA10" s="60">
        <f>AY10+AZ10</f>
        <v>11082</v>
      </c>
      <c r="BB10" s="64">
        <v>2333</v>
      </c>
      <c r="BC10" s="67">
        <v>3872</v>
      </c>
      <c r="BD10" s="60">
        <f t="shared" si="2"/>
        <v>6205</v>
      </c>
      <c r="BE10" s="64">
        <v>827</v>
      </c>
      <c r="BF10" s="67">
        <v>2007</v>
      </c>
      <c r="BG10" s="60">
        <f t="shared" si="3"/>
        <v>2834</v>
      </c>
      <c r="BH10" s="64">
        <f t="shared" si="17"/>
        <v>422</v>
      </c>
      <c r="BI10" s="67">
        <f t="shared" si="17"/>
        <v>498</v>
      </c>
      <c r="BJ10" s="60">
        <f t="shared" si="4"/>
        <v>920</v>
      </c>
      <c r="BK10" s="64">
        <v>200</v>
      </c>
      <c r="BL10" s="67">
        <v>178</v>
      </c>
      <c r="BM10" s="60">
        <f t="shared" si="5"/>
        <v>378</v>
      </c>
      <c r="BN10" s="64">
        <v>148</v>
      </c>
      <c r="BO10" s="67">
        <v>160</v>
      </c>
      <c r="BP10" s="60">
        <f t="shared" si="6"/>
        <v>308</v>
      </c>
      <c r="BQ10" s="64">
        <v>74</v>
      </c>
      <c r="BR10" s="67">
        <v>160</v>
      </c>
      <c r="BS10" s="60">
        <f t="shared" si="7"/>
        <v>234</v>
      </c>
      <c r="BT10" s="64">
        <f t="shared" si="18"/>
        <v>0</v>
      </c>
      <c r="BU10" s="67">
        <f t="shared" si="18"/>
        <v>0</v>
      </c>
      <c r="BV10" s="60">
        <f t="shared" si="8"/>
        <v>0</v>
      </c>
      <c r="BW10" s="64"/>
      <c r="BX10" s="67"/>
      <c r="BY10" s="60">
        <f t="shared" si="9"/>
        <v>0</v>
      </c>
      <c r="BZ10" s="64"/>
      <c r="CA10" s="67"/>
      <c r="CB10" s="60">
        <f t="shared" si="10"/>
        <v>0</v>
      </c>
      <c r="CC10" s="64"/>
      <c r="CD10" s="67"/>
      <c r="CE10" s="60">
        <f t="shared" si="11"/>
        <v>0</v>
      </c>
      <c r="CF10" s="64">
        <f t="shared" si="19"/>
        <v>0</v>
      </c>
      <c r="CG10" s="67">
        <f t="shared" si="19"/>
        <v>0</v>
      </c>
      <c r="CH10" s="60">
        <f t="shared" si="12"/>
        <v>0</v>
      </c>
      <c r="CI10" s="64"/>
      <c r="CJ10" s="67"/>
      <c r="CK10" s="60">
        <f t="shared" si="13"/>
        <v>0</v>
      </c>
      <c r="CL10" s="64"/>
      <c r="CM10" s="67"/>
      <c r="CN10" s="60">
        <f t="shared" si="14"/>
        <v>0</v>
      </c>
      <c r="CO10" s="64"/>
      <c r="CP10" s="67"/>
      <c r="CQ10" s="60">
        <f t="shared" si="15"/>
        <v>0</v>
      </c>
    </row>
    <row r="11" spans="2:96">
      <c r="B11" s="61" t="s">
        <v>36</v>
      </c>
      <c r="C11" s="64">
        <f t="shared" si="20"/>
        <v>10</v>
      </c>
      <c r="D11" s="67">
        <f t="shared" si="20"/>
        <v>9</v>
      </c>
      <c r="E11" s="60">
        <f t="shared" si="21"/>
        <v>19</v>
      </c>
      <c r="F11" s="64">
        <v>2</v>
      </c>
      <c r="G11" s="67">
        <v>4</v>
      </c>
      <c r="H11" s="60">
        <f t="shared" si="22"/>
        <v>6</v>
      </c>
      <c r="I11" s="64">
        <v>4</v>
      </c>
      <c r="J11" s="67">
        <v>2</v>
      </c>
      <c r="K11" s="60">
        <f t="shared" si="23"/>
        <v>6</v>
      </c>
      <c r="L11" s="64">
        <v>4</v>
      </c>
      <c r="M11" s="67">
        <v>3</v>
      </c>
      <c r="N11" s="60">
        <f t="shared" si="24"/>
        <v>7</v>
      </c>
      <c r="O11" s="64"/>
      <c r="P11" s="67"/>
      <c r="Q11" s="69"/>
      <c r="R11" s="64"/>
      <c r="S11" s="67"/>
      <c r="T11" s="69"/>
      <c r="U11" s="64"/>
      <c r="V11" s="67"/>
      <c r="W11" s="69"/>
      <c r="X11" s="64">
        <f t="shared" si="25"/>
        <v>32</v>
      </c>
      <c r="Y11" s="67">
        <f t="shared" si="26"/>
        <v>78</v>
      </c>
      <c r="Z11" s="60">
        <f t="shared" si="27"/>
        <v>110</v>
      </c>
      <c r="AA11" s="64">
        <f>VLOOKUP($B11,[1]Sheet1!$B$4:$O$55,3,FALSE)</f>
        <v>9</v>
      </c>
      <c r="AB11" s="67">
        <f>VLOOKUP($B11,[1]Sheet1!$B$4:$O$55,4,FALSE)</f>
        <v>20</v>
      </c>
      <c r="AC11" s="60">
        <f t="shared" si="28"/>
        <v>29</v>
      </c>
      <c r="AD11" s="64">
        <f>VLOOKUP($B11,[1]Sheet1!$B$4:$O$55,6,FALSE)</f>
        <v>12</v>
      </c>
      <c r="AE11" s="67">
        <f>VLOOKUP($B11,[1]Sheet1!$B$4:$O$55,7,FALSE)</f>
        <v>27</v>
      </c>
      <c r="AF11" s="60">
        <f t="shared" si="29"/>
        <v>39</v>
      </c>
      <c r="AG11" s="64">
        <f>VLOOKUP($B11,[1]Sheet1!$B$4:$O$55,9,FALSE)</f>
        <v>11</v>
      </c>
      <c r="AH11" s="67">
        <f>VLOOKUP($B11,[1]Sheet1!$B$4:$O$55,10,FALSE)</f>
        <v>31</v>
      </c>
      <c r="AI11" s="60">
        <f t="shared" si="30"/>
        <v>42</v>
      </c>
      <c r="AJ11" s="64">
        <f t="shared" si="31"/>
        <v>8</v>
      </c>
      <c r="AK11" s="67">
        <f t="shared" si="32"/>
        <v>30</v>
      </c>
      <c r="AL11" s="60">
        <f t="shared" si="33"/>
        <v>38</v>
      </c>
      <c r="AM11" s="64">
        <f>VLOOKUP($B11,[1]Sheet2!$B$4:$O$55,3,FALSE)</f>
        <v>4</v>
      </c>
      <c r="AN11" s="67">
        <f>VLOOKUP($B11,[1]Sheet2!$B$4:$O$55,4,FALSE)</f>
        <v>11</v>
      </c>
      <c r="AO11" s="60">
        <f t="shared" si="34"/>
        <v>15</v>
      </c>
      <c r="AP11" s="64">
        <f>VLOOKUP($B11,[1]Sheet2!$B$4:$O$55,6,FALSE)</f>
        <v>1</v>
      </c>
      <c r="AQ11" s="67">
        <f>VLOOKUP($B11,[1]Sheet2!$B$4:$O$55,7,FALSE)</f>
        <v>10</v>
      </c>
      <c r="AR11" s="60">
        <f t="shared" si="35"/>
        <v>11</v>
      </c>
      <c r="AS11" s="64">
        <f>VLOOKUP($B11,[1]Sheet2!$B$4:$O$55,9,FALSE)</f>
        <v>3</v>
      </c>
      <c r="AT11" s="67">
        <f>VLOOKUP($B11,[1]Sheet2!$B$4:$O$55,10,FALSE)</f>
        <v>9</v>
      </c>
      <c r="AU11" s="60">
        <f t="shared" si="36"/>
        <v>12</v>
      </c>
      <c r="AV11" s="64">
        <f t="shared" si="16"/>
        <v>4314</v>
      </c>
      <c r="AW11" s="67">
        <f t="shared" si="16"/>
        <v>7002</v>
      </c>
      <c r="AX11" s="60">
        <f t="shared" si="0"/>
        <v>11316</v>
      </c>
      <c r="AY11" s="64">
        <v>2638</v>
      </c>
      <c r="AZ11" s="67">
        <v>4060</v>
      </c>
      <c r="BA11" s="60">
        <f t="shared" si="1"/>
        <v>6698</v>
      </c>
      <c r="BB11" s="64">
        <v>1279</v>
      </c>
      <c r="BC11" s="67">
        <v>1994</v>
      </c>
      <c r="BD11" s="60">
        <f t="shared" si="2"/>
        <v>3273</v>
      </c>
      <c r="BE11" s="64">
        <v>397</v>
      </c>
      <c r="BF11" s="67">
        <v>948</v>
      </c>
      <c r="BG11" s="60">
        <f t="shared" si="3"/>
        <v>1345</v>
      </c>
      <c r="BH11" s="64">
        <f t="shared" si="17"/>
        <v>158</v>
      </c>
      <c r="BI11" s="67">
        <f t="shared" si="17"/>
        <v>221</v>
      </c>
      <c r="BJ11" s="60">
        <f t="shared" si="4"/>
        <v>379</v>
      </c>
      <c r="BK11" s="64">
        <v>52</v>
      </c>
      <c r="BL11" s="67">
        <v>73</v>
      </c>
      <c r="BM11" s="60">
        <f t="shared" si="5"/>
        <v>125</v>
      </c>
      <c r="BN11" s="64">
        <v>53</v>
      </c>
      <c r="BO11" s="67">
        <v>74</v>
      </c>
      <c r="BP11" s="60">
        <f t="shared" si="6"/>
        <v>127</v>
      </c>
      <c r="BQ11" s="64">
        <v>53</v>
      </c>
      <c r="BR11" s="67">
        <v>74</v>
      </c>
      <c r="BS11" s="60">
        <f t="shared" si="7"/>
        <v>127</v>
      </c>
      <c r="BT11" s="64">
        <f t="shared" si="18"/>
        <v>2</v>
      </c>
      <c r="BU11" s="67">
        <f t="shared" si="18"/>
        <v>0</v>
      </c>
      <c r="BV11" s="60">
        <f t="shared" si="8"/>
        <v>2</v>
      </c>
      <c r="BW11" s="64">
        <v>1</v>
      </c>
      <c r="BX11" s="67">
        <v>0</v>
      </c>
      <c r="BY11" s="60">
        <f t="shared" si="9"/>
        <v>1</v>
      </c>
      <c r="BZ11" s="64">
        <v>1</v>
      </c>
      <c r="CA11" s="67">
        <v>0</v>
      </c>
      <c r="CB11" s="60">
        <f t="shared" si="10"/>
        <v>1</v>
      </c>
      <c r="CC11" s="64">
        <v>0</v>
      </c>
      <c r="CD11" s="67">
        <v>0</v>
      </c>
      <c r="CE11" s="60">
        <f t="shared" si="11"/>
        <v>0</v>
      </c>
      <c r="CF11" s="64">
        <f t="shared" si="19"/>
        <v>0</v>
      </c>
      <c r="CG11" s="67">
        <f t="shared" si="19"/>
        <v>0</v>
      </c>
      <c r="CH11" s="60">
        <f t="shared" si="12"/>
        <v>0</v>
      </c>
      <c r="CI11" s="64"/>
      <c r="CJ11" s="67"/>
      <c r="CK11" s="60">
        <f t="shared" si="13"/>
        <v>0</v>
      </c>
      <c r="CL11" s="64"/>
      <c r="CM11" s="67"/>
      <c r="CN11" s="60">
        <f t="shared" si="14"/>
        <v>0</v>
      </c>
      <c r="CO11" s="64"/>
      <c r="CP11" s="67"/>
      <c r="CQ11" s="60">
        <f t="shared" si="15"/>
        <v>0</v>
      </c>
    </row>
    <row r="12" spans="2:96">
      <c r="B12" s="61" t="s">
        <v>37</v>
      </c>
      <c r="C12" s="64">
        <f t="shared" si="20"/>
        <v>0</v>
      </c>
      <c r="D12" s="67">
        <f t="shared" si="20"/>
        <v>0</v>
      </c>
      <c r="E12" s="60">
        <f t="shared" si="21"/>
        <v>0</v>
      </c>
      <c r="F12" s="64"/>
      <c r="G12" s="67"/>
      <c r="H12" s="60">
        <f t="shared" si="22"/>
        <v>0</v>
      </c>
      <c r="I12" s="64"/>
      <c r="J12" s="67"/>
      <c r="K12" s="60">
        <f t="shared" si="23"/>
        <v>0</v>
      </c>
      <c r="L12" s="64"/>
      <c r="M12" s="67"/>
      <c r="N12" s="60">
        <f t="shared" si="24"/>
        <v>0</v>
      </c>
      <c r="O12" s="64"/>
      <c r="P12" s="67"/>
      <c r="Q12" s="69"/>
      <c r="R12" s="64"/>
      <c r="S12" s="67"/>
      <c r="T12" s="69"/>
      <c r="U12" s="64"/>
      <c r="V12" s="67"/>
      <c r="W12" s="69"/>
      <c r="X12" s="64">
        <f t="shared" si="25"/>
        <v>14</v>
      </c>
      <c r="Y12" s="67">
        <f t="shared" si="26"/>
        <v>52</v>
      </c>
      <c r="Z12" s="60">
        <f t="shared" si="27"/>
        <v>66</v>
      </c>
      <c r="AA12" s="64">
        <f>VLOOKUP($B12,[1]Sheet1!$B$4:$O$55,3,FALSE)</f>
        <v>2</v>
      </c>
      <c r="AB12" s="67">
        <f>VLOOKUP($B12,[1]Sheet1!$B$4:$O$55,4,FALSE)</f>
        <v>3</v>
      </c>
      <c r="AC12" s="60">
        <f t="shared" si="28"/>
        <v>5</v>
      </c>
      <c r="AD12" s="64">
        <f>VLOOKUP($B12,[1]Sheet1!$B$4:$O$55,6,FALSE)</f>
        <v>8</v>
      </c>
      <c r="AE12" s="67">
        <f>VLOOKUP($B12,[1]Sheet1!$B$4:$O$55,7,FALSE)</f>
        <v>9</v>
      </c>
      <c r="AF12" s="60">
        <f t="shared" si="29"/>
        <v>17</v>
      </c>
      <c r="AG12" s="64">
        <f>VLOOKUP($B12,[1]Sheet1!$B$4:$O$55,9,FALSE)</f>
        <v>4</v>
      </c>
      <c r="AH12" s="67">
        <f>VLOOKUP($B12,[1]Sheet1!$B$4:$O$55,10,FALSE)</f>
        <v>40</v>
      </c>
      <c r="AI12" s="60">
        <f t="shared" si="30"/>
        <v>44</v>
      </c>
      <c r="AJ12" s="64">
        <f t="shared" si="31"/>
        <v>2</v>
      </c>
      <c r="AK12" s="67">
        <f t="shared" si="32"/>
        <v>6</v>
      </c>
      <c r="AL12" s="60">
        <f t="shared" si="33"/>
        <v>8</v>
      </c>
      <c r="AM12" s="64">
        <f>VLOOKUP($B12,[1]Sheet2!$B$4:$O$55,3,FALSE)</f>
        <v>0</v>
      </c>
      <c r="AN12" s="67">
        <f>VLOOKUP($B12,[1]Sheet2!$B$4:$O$55,4,FALSE)</f>
        <v>2</v>
      </c>
      <c r="AO12" s="60">
        <f t="shared" si="34"/>
        <v>2</v>
      </c>
      <c r="AP12" s="64">
        <f>VLOOKUP($B12,[1]Sheet2!$B$4:$O$55,6,FALSE)</f>
        <v>2</v>
      </c>
      <c r="AQ12" s="67">
        <f>VLOOKUP($B12,[1]Sheet2!$B$4:$O$55,7,FALSE)</f>
        <v>0</v>
      </c>
      <c r="AR12" s="60">
        <f t="shared" si="35"/>
        <v>2</v>
      </c>
      <c r="AS12" s="64">
        <f>VLOOKUP($B12,[1]Sheet2!$B$4:$O$55,9,FALSE)</f>
        <v>0</v>
      </c>
      <c r="AT12" s="67">
        <f>VLOOKUP($B12,[1]Sheet2!$B$4:$O$55,10,FALSE)</f>
        <v>4</v>
      </c>
      <c r="AU12" s="60">
        <f t="shared" si="36"/>
        <v>4</v>
      </c>
      <c r="AV12" s="64">
        <f t="shared" si="16"/>
        <v>0</v>
      </c>
      <c r="AW12" s="67">
        <f t="shared" si="16"/>
        <v>0</v>
      </c>
      <c r="AX12" s="60">
        <f t="shared" si="0"/>
        <v>0</v>
      </c>
      <c r="AY12" s="64"/>
      <c r="AZ12" s="67"/>
      <c r="BA12" s="60">
        <f t="shared" si="1"/>
        <v>0</v>
      </c>
      <c r="BB12" s="64"/>
      <c r="BC12" s="67"/>
      <c r="BD12" s="60">
        <f t="shared" si="2"/>
        <v>0</v>
      </c>
      <c r="BE12" s="64"/>
      <c r="BF12" s="67"/>
      <c r="BG12" s="60">
        <f t="shared" si="3"/>
        <v>0</v>
      </c>
      <c r="BH12" s="64">
        <f t="shared" si="17"/>
        <v>0</v>
      </c>
      <c r="BI12" s="67">
        <f t="shared" si="17"/>
        <v>0</v>
      </c>
      <c r="BJ12" s="60">
        <f t="shared" si="4"/>
        <v>0</v>
      </c>
      <c r="BK12" s="64"/>
      <c r="BL12" s="67"/>
      <c r="BM12" s="60">
        <f t="shared" si="5"/>
        <v>0</v>
      </c>
      <c r="BN12" s="64"/>
      <c r="BO12" s="67"/>
      <c r="BP12" s="60">
        <f t="shared" si="6"/>
        <v>0</v>
      </c>
      <c r="BQ12" s="64"/>
      <c r="BR12" s="67"/>
      <c r="BS12" s="60">
        <f t="shared" si="7"/>
        <v>0</v>
      </c>
      <c r="BT12" s="64">
        <f t="shared" si="18"/>
        <v>0</v>
      </c>
      <c r="BU12" s="67">
        <f t="shared" si="18"/>
        <v>0</v>
      </c>
      <c r="BV12" s="60">
        <f t="shared" si="8"/>
        <v>0</v>
      </c>
      <c r="BW12" s="64"/>
      <c r="BX12" s="67"/>
      <c r="BY12" s="60">
        <f t="shared" si="9"/>
        <v>0</v>
      </c>
      <c r="BZ12" s="64"/>
      <c r="CA12" s="67"/>
      <c r="CB12" s="60">
        <f t="shared" si="10"/>
        <v>0</v>
      </c>
      <c r="CC12" s="64"/>
      <c r="CD12" s="67"/>
      <c r="CE12" s="60">
        <f t="shared" si="11"/>
        <v>0</v>
      </c>
      <c r="CF12" s="64">
        <f t="shared" si="19"/>
        <v>0</v>
      </c>
      <c r="CG12" s="67">
        <f t="shared" si="19"/>
        <v>0</v>
      </c>
      <c r="CH12" s="60">
        <f t="shared" si="12"/>
        <v>0</v>
      </c>
      <c r="CI12" s="64"/>
      <c r="CJ12" s="67"/>
      <c r="CK12" s="60">
        <f t="shared" si="13"/>
        <v>0</v>
      </c>
      <c r="CL12" s="64"/>
      <c r="CM12" s="67"/>
      <c r="CN12" s="60">
        <f t="shared" si="14"/>
        <v>0</v>
      </c>
      <c r="CO12" s="64"/>
      <c r="CP12" s="67"/>
      <c r="CQ12" s="60">
        <f t="shared" si="15"/>
        <v>0</v>
      </c>
    </row>
    <row r="13" spans="2:96">
      <c r="B13" s="61" t="s">
        <v>38</v>
      </c>
      <c r="C13" s="64">
        <f t="shared" si="20"/>
        <v>0</v>
      </c>
      <c r="D13" s="67">
        <f t="shared" si="20"/>
        <v>0</v>
      </c>
      <c r="E13" s="60">
        <f t="shared" si="21"/>
        <v>0</v>
      </c>
      <c r="F13" s="64"/>
      <c r="G13" s="67"/>
      <c r="H13" s="60">
        <f t="shared" si="22"/>
        <v>0</v>
      </c>
      <c r="I13" s="64"/>
      <c r="J13" s="67"/>
      <c r="K13" s="60">
        <f t="shared" si="23"/>
        <v>0</v>
      </c>
      <c r="L13" s="64"/>
      <c r="M13" s="67"/>
      <c r="N13" s="60">
        <f t="shared" si="24"/>
        <v>0</v>
      </c>
      <c r="O13" s="64"/>
      <c r="P13" s="67"/>
      <c r="Q13" s="69"/>
      <c r="R13" s="64"/>
      <c r="S13" s="67"/>
      <c r="T13" s="69"/>
      <c r="U13" s="64"/>
      <c r="V13" s="67"/>
      <c r="W13" s="69"/>
      <c r="X13" s="64">
        <f t="shared" si="25"/>
        <v>35</v>
      </c>
      <c r="Y13" s="67">
        <f t="shared" si="26"/>
        <v>58</v>
      </c>
      <c r="Z13" s="60">
        <f t="shared" si="27"/>
        <v>93</v>
      </c>
      <c r="AA13" s="64">
        <f>VLOOKUP($B13,[1]Sheet1!$B$4:$O$55,3,FALSE)</f>
        <v>9</v>
      </c>
      <c r="AB13" s="67">
        <f>VLOOKUP($B13,[1]Sheet1!$B$4:$O$55,4,FALSE)</f>
        <v>4</v>
      </c>
      <c r="AC13" s="60">
        <f t="shared" si="28"/>
        <v>13</v>
      </c>
      <c r="AD13" s="64">
        <f>VLOOKUP($B13,[1]Sheet1!$B$4:$O$55,6,FALSE)</f>
        <v>10</v>
      </c>
      <c r="AE13" s="67">
        <f>VLOOKUP($B13,[1]Sheet1!$B$4:$O$55,7,FALSE)</f>
        <v>13</v>
      </c>
      <c r="AF13" s="60">
        <f t="shared" si="29"/>
        <v>23</v>
      </c>
      <c r="AG13" s="64">
        <f>VLOOKUP($B13,[1]Sheet1!$B$4:$O$55,9,FALSE)</f>
        <v>16</v>
      </c>
      <c r="AH13" s="67">
        <f>VLOOKUP($B13,[1]Sheet1!$B$4:$O$55,10,FALSE)</f>
        <v>41</v>
      </c>
      <c r="AI13" s="60">
        <f t="shared" si="30"/>
        <v>57</v>
      </c>
      <c r="AJ13" s="64">
        <f t="shared" si="31"/>
        <v>7</v>
      </c>
      <c r="AK13" s="67">
        <f t="shared" si="32"/>
        <v>17</v>
      </c>
      <c r="AL13" s="60">
        <f t="shared" si="33"/>
        <v>24</v>
      </c>
      <c r="AM13" s="64">
        <f>VLOOKUP($B13,[1]Sheet2!$B$4:$O$55,3,FALSE)</f>
        <v>3</v>
      </c>
      <c r="AN13" s="67">
        <f>VLOOKUP($B13,[1]Sheet2!$B$4:$O$55,4,FALSE)</f>
        <v>2</v>
      </c>
      <c r="AO13" s="60">
        <f t="shared" si="34"/>
        <v>5</v>
      </c>
      <c r="AP13" s="64">
        <f>VLOOKUP($B13,[1]Sheet2!$B$4:$O$55,6,FALSE)</f>
        <v>1</v>
      </c>
      <c r="AQ13" s="67">
        <f>VLOOKUP($B13,[1]Sheet2!$B$4:$O$55,7,FALSE)</f>
        <v>5</v>
      </c>
      <c r="AR13" s="60">
        <f t="shared" si="35"/>
        <v>6</v>
      </c>
      <c r="AS13" s="64">
        <f>VLOOKUP($B13,[1]Sheet2!$B$4:$O$55,9,FALSE)</f>
        <v>3</v>
      </c>
      <c r="AT13" s="67">
        <f>VLOOKUP($B13,[1]Sheet2!$B$4:$O$55,10,FALSE)</f>
        <v>10</v>
      </c>
      <c r="AU13" s="60">
        <f t="shared" si="36"/>
        <v>13</v>
      </c>
      <c r="AV13" s="64">
        <f t="shared" si="16"/>
        <v>3700</v>
      </c>
      <c r="AW13" s="67">
        <f t="shared" si="16"/>
        <v>4497</v>
      </c>
      <c r="AX13" s="60">
        <f t="shared" si="0"/>
        <v>8197</v>
      </c>
      <c r="AY13" s="64">
        <v>2000</v>
      </c>
      <c r="AZ13" s="67">
        <v>2195</v>
      </c>
      <c r="BA13" s="60">
        <f t="shared" si="1"/>
        <v>4195</v>
      </c>
      <c r="BB13" s="64">
        <v>1100</v>
      </c>
      <c r="BC13" s="67">
        <v>1554</v>
      </c>
      <c r="BD13" s="60">
        <f t="shared" si="2"/>
        <v>2654</v>
      </c>
      <c r="BE13" s="64">
        <v>600</v>
      </c>
      <c r="BF13" s="67">
        <v>748</v>
      </c>
      <c r="BG13" s="60">
        <f t="shared" si="3"/>
        <v>1348</v>
      </c>
      <c r="BH13" s="64">
        <f t="shared" si="17"/>
        <v>0</v>
      </c>
      <c r="BI13" s="67">
        <f t="shared" si="17"/>
        <v>0</v>
      </c>
      <c r="BJ13" s="60">
        <f t="shared" si="4"/>
        <v>0</v>
      </c>
      <c r="BK13" s="64"/>
      <c r="BL13" s="67"/>
      <c r="BM13" s="60">
        <f t="shared" si="5"/>
        <v>0</v>
      </c>
      <c r="BN13" s="64"/>
      <c r="BO13" s="67"/>
      <c r="BP13" s="60">
        <f t="shared" si="6"/>
        <v>0</v>
      </c>
      <c r="BQ13" s="64"/>
      <c r="BR13" s="67"/>
      <c r="BS13" s="60">
        <f t="shared" si="7"/>
        <v>0</v>
      </c>
      <c r="BT13" s="64">
        <f t="shared" si="18"/>
        <v>0</v>
      </c>
      <c r="BU13" s="67">
        <f t="shared" si="18"/>
        <v>0</v>
      </c>
      <c r="BV13" s="60">
        <f t="shared" si="8"/>
        <v>0</v>
      </c>
      <c r="BW13" s="64"/>
      <c r="BX13" s="67"/>
      <c r="BY13" s="60">
        <f t="shared" si="9"/>
        <v>0</v>
      </c>
      <c r="BZ13" s="64"/>
      <c r="CA13" s="67"/>
      <c r="CB13" s="60">
        <f t="shared" si="10"/>
        <v>0</v>
      </c>
      <c r="CC13" s="64"/>
      <c r="CD13" s="67"/>
      <c r="CE13" s="60">
        <f t="shared" si="11"/>
        <v>0</v>
      </c>
      <c r="CF13" s="64">
        <f t="shared" si="19"/>
        <v>0</v>
      </c>
      <c r="CG13" s="67">
        <f t="shared" si="19"/>
        <v>0</v>
      </c>
      <c r="CH13" s="60">
        <f t="shared" si="12"/>
        <v>0</v>
      </c>
      <c r="CI13" s="64"/>
      <c r="CJ13" s="67"/>
      <c r="CK13" s="60">
        <f t="shared" si="13"/>
        <v>0</v>
      </c>
      <c r="CL13" s="64"/>
      <c r="CM13" s="67"/>
      <c r="CN13" s="60">
        <f t="shared" si="14"/>
        <v>0</v>
      </c>
      <c r="CO13" s="64"/>
      <c r="CP13" s="67"/>
      <c r="CQ13" s="60">
        <f t="shared" si="15"/>
        <v>0</v>
      </c>
      <c r="CR13" s="56" t="s">
        <v>383</v>
      </c>
    </row>
    <row r="14" spans="2:96">
      <c r="B14" s="61" t="s">
        <v>39</v>
      </c>
      <c r="C14" s="64">
        <f t="shared" si="20"/>
        <v>0</v>
      </c>
      <c r="D14" s="67">
        <f t="shared" si="20"/>
        <v>0</v>
      </c>
      <c r="E14" s="60">
        <f t="shared" si="21"/>
        <v>0</v>
      </c>
      <c r="F14" s="64"/>
      <c r="G14" s="67"/>
      <c r="H14" s="60">
        <f t="shared" si="22"/>
        <v>0</v>
      </c>
      <c r="I14" s="64"/>
      <c r="J14" s="67"/>
      <c r="K14" s="60">
        <f t="shared" si="23"/>
        <v>0</v>
      </c>
      <c r="L14" s="64"/>
      <c r="M14" s="67"/>
      <c r="N14" s="60">
        <f t="shared" si="24"/>
        <v>0</v>
      </c>
      <c r="O14" s="64"/>
      <c r="P14" s="67"/>
      <c r="Q14" s="69"/>
      <c r="R14" s="64"/>
      <c r="S14" s="67"/>
      <c r="T14" s="69"/>
      <c r="U14" s="64"/>
      <c r="V14" s="67"/>
      <c r="W14" s="69"/>
      <c r="X14" s="64">
        <f t="shared" si="25"/>
        <v>42</v>
      </c>
      <c r="Y14" s="67">
        <f t="shared" si="26"/>
        <v>70</v>
      </c>
      <c r="Z14" s="60">
        <f t="shared" si="27"/>
        <v>112</v>
      </c>
      <c r="AA14" s="64">
        <f>VLOOKUP($B14,[1]Sheet1!$B$4:$O$55,3,FALSE)</f>
        <v>10</v>
      </c>
      <c r="AB14" s="67">
        <f>VLOOKUP($B14,[1]Sheet1!$B$4:$O$55,4,FALSE)</f>
        <v>10</v>
      </c>
      <c r="AC14" s="60">
        <f t="shared" si="28"/>
        <v>20</v>
      </c>
      <c r="AD14" s="64">
        <f>VLOOKUP($B14,[1]Sheet1!$B$4:$O$55,6,FALSE)</f>
        <v>11</v>
      </c>
      <c r="AE14" s="67">
        <f>VLOOKUP($B14,[1]Sheet1!$B$4:$O$55,7,FALSE)</f>
        <v>14</v>
      </c>
      <c r="AF14" s="60">
        <f t="shared" si="29"/>
        <v>25</v>
      </c>
      <c r="AG14" s="64">
        <f>VLOOKUP($B14,[1]Sheet1!$B$4:$O$55,9,FALSE)</f>
        <v>21</v>
      </c>
      <c r="AH14" s="67">
        <f>VLOOKUP($B14,[1]Sheet1!$B$4:$O$55,10,FALSE)</f>
        <v>46</v>
      </c>
      <c r="AI14" s="60">
        <f t="shared" si="30"/>
        <v>67</v>
      </c>
      <c r="AJ14" s="64">
        <f t="shared" si="31"/>
        <v>8</v>
      </c>
      <c r="AK14" s="67">
        <f t="shared" si="32"/>
        <v>11</v>
      </c>
      <c r="AL14" s="60">
        <f t="shared" si="33"/>
        <v>19</v>
      </c>
      <c r="AM14" s="64">
        <f>VLOOKUP($B14,[1]Sheet2!$B$4:$O$55,3,FALSE)</f>
        <v>3</v>
      </c>
      <c r="AN14" s="67">
        <f>VLOOKUP($B14,[1]Sheet2!$B$4:$O$55,4,FALSE)</f>
        <v>4</v>
      </c>
      <c r="AO14" s="60">
        <f t="shared" si="34"/>
        <v>7</v>
      </c>
      <c r="AP14" s="64">
        <f>VLOOKUP($B14,[1]Sheet2!$B$4:$O$55,6,FALSE)</f>
        <v>3</v>
      </c>
      <c r="AQ14" s="67">
        <f>VLOOKUP($B14,[1]Sheet2!$B$4:$O$55,7,FALSE)</f>
        <v>1</v>
      </c>
      <c r="AR14" s="60">
        <f t="shared" si="35"/>
        <v>4</v>
      </c>
      <c r="AS14" s="64">
        <f>VLOOKUP($B14,[1]Sheet2!$B$4:$O$55,9,FALSE)</f>
        <v>2</v>
      </c>
      <c r="AT14" s="67">
        <f>VLOOKUP($B14,[1]Sheet2!$B$4:$O$55,10,FALSE)</f>
        <v>6</v>
      </c>
      <c r="AU14" s="60">
        <f t="shared" si="36"/>
        <v>8</v>
      </c>
      <c r="AV14" s="64">
        <f t="shared" si="16"/>
        <v>5877</v>
      </c>
      <c r="AW14" s="67">
        <f t="shared" si="16"/>
        <v>9528</v>
      </c>
      <c r="AX14" s="60">
        <f t="shared" si="0"/>
        <v>15405</v>
      </c>
      <c r="AY14" s="64">
        <v>3841</v>
      </c>
      <c r="AZ14" s="67">
        <v>5501</v>
      </c>
      <c r="BA14" s="60">
        <f t="shared" si="1"/>
        <v>9342</v>
      </c>
      <c r="BB14" s="64">
        <v>1520</v>
      </c>
      <c r="BC14" s="67">
        <v>2648</v>
      </c>
      <c r="BD14" s="60">
        <f t="shared" si="2"/>
        <v>4168</v>
      </c>
      <c r="BE14" s="64">
        <v>516</v>
      </c>
      <c r="BF14" s="67">
        <v>1379</v>
      </c>
      <c r="BG14" s="60">
        <f t="shared" si="3"/>
        <v>1895</v>
      </c>
      <c r="BH14" s="64">
        <f t="shared" si="17"/>
        <v>261</v>
      </c>
      <c r="BI14" s="67">
        <f t="shared" si="17"/>
        <v>271</v>
      </c>
      <c r="BJ14" s="60">
        <f t="shared" si="4"/>
        <v>532</v>
      </c>
      <c r="BK14" s="64">
        <v>135</v>
      </c>
      <c r="BL14" s="67">
        <v>104</v>
      </c>
      <c r="BM14" s="60">
        <f t="shared" si="5"/>
        <v>239</v>
      </c>
      <c r="BN14" s="64">
        <v>78</v>
      </c>
      <c r="BO14" s="67">
        <v>80</v>
      </c>
      <c r="BP14" s="60">
        <f t="shared" si="6"/>
        <v>158</v>
      </c>
      <c r="BQ14" s="64">
        <v>48</v>
      </c>
      <c r="BR14" s="67">
        <v>87</v>
      </c>
      <c r="BS14" s="60">
        <f t="shared" si="7"/>
        <v>135</v>
      </c>
      <c r="BT14" s="64">
        <f t="shared" si="18"/>
        <v>0</v>
      </c>
      <c r="BU14" s="67">
        <f t="shared" si="18"/>
        <v>0</v>
      </c>
      <c r="BV14" s="60">
        <f t="shared" si="8"/>
        <v>0</v>
      </c>
      <c r="BW14" s="64"/>
      <c r="BX14" s="67"/>
      <c r="BY14" s="60">
        <f t="shared" si="9"/>
        <v>0</v>
      </c>
      <c r="BZ14" s="64"/>
      <c r="CA14" s="67"/>
      <c r="CB14" s="60">
        <f t="shared" si="10"/>
        <v>0</v>
      </c>
      <c r="CC14" s="64"/>
      <c r="CD14" s="67"/>
      <c r="CE14" s="60">
        <f t="shared" si="11"/>
        <v>0</v>
      </c>
      <c r="CF14" s="64">
        <f t="shared" si="19"/>
        <v>0</v>
      </c>
      <c r="CG14" s="67">
        <f t="shared" si="19"/>
        <v>0</v>
      </c>
      <c r="CH14" s="60">
        <f t="shared" si="12"/>
        <v>0</v>
      </c>
      <c r="CI14" s="64"/>
      <c r="CJ14" s="67"/>
      <c r="CK14" s="60">
        <f t="shared" si="13"/>
        <v>0</v>
      </c>
      <c r="CL14" s="64"/>
      <c r="CM14" s="67"/>
      <c r="CN14" s="60">
        <f t="shared" si="14"/>
        <v>0</v>
      </c>
      <c r="CO14" s="64"/>
      <c r="CP14" s="67"/>
      <c r="CQ14" s="60">
        <f t="shared" si="15"/>
        <v>0</v>
      </c>
    </row>
    <row r="15" spans="2:96">
      <c r="B15" s="61" t="s">
        <v>40</v>
      </c>
      <c r="C15" s="64">
        <f t="shared" si="20"/>
        <v>0</v>
      </c>
      <c r="D15" s="67">
        <f t="shared" si="20"/>
        <v>0</v>
      </c>
      <c r="E15" s="60">
        <f t="shared" si="21"/>
        <v>0</v>
      </c>
      <c r="F15" s="64"/>
      <c r="G15" s="67"/>
      <c r="H15" s="60">
        <f t="shared" si="22"/>
        <v>0</v>
      </c>
      <c r="I15" s="64"/>
      <c r="J15" s="67"/>
      <c r="K15" s="60">
        <f t="shared" si="23"/>
        <v>0</v>
      </c>
      <c r="L15" s="64"/>
      <c r="M15" s="67"/>
      <c r="N15" s="60">
        <f t="shared" si="24"/>
        <v>0</v>
      </c>
      <c r="O15" s="64"/>
      <c r="P15" s="67"/>
      <c r="Q15" s="69"/>
      <c r="R15" s="64"/>
      <c r="S15" s="67"/>
      <c r="T15" s="69"/>
      <c r="U15" s="64"/>
      <c r="V15" s="67"/>
      <c r="W15" s="69"/>
      <c r="X15" s="64">
        <f t="shared" si="25"/>
        <v>36</v>
      </c>
      <c r="Y15" s="67">
        <f t="shared" si="26"/>
        <v>93</v>
      </c>
      <c r="Z15" s="60">
        <f t="shared" si="27"/>
        <v>129</v>
      </c>
      <c r="AA15" s="64">
        <f>VLOOKUP($B15,[1]Sheet1!$B$4:$O$55,3,FALSE)</f>
        <v>6</v>
      </c>
      <c r="AB15" s="67">
        <f>VLOOKUP($B15,[1]Sheet1!$B$4:$O$55,4,FALSE)</f>
        <v>17</v>
      </c>
      <c r="AC15" s="60">
        <f t="shared" si="28"/>
        <v>23</v>
      </c>
      <c r="AD15" s="64">
        <f>VLOOKUP($B15,[1]Sheet1!$B$4:$O$55,6,FALSE)</f>
        <v>15</v>
      </c>
      <c r="AE15" s="67">
        <f>VLOOKUP($B15,[1]Sheet1!$B$4:$O$55,7,FALSE)</f>
        <v>21</v>
      </c>
      <c r="AF15" s="60">
        <f t="shared" si="29"/>
        <v>36</v>
      </c>
      <c r="AG15" s="64">
        <f>VLOOKUP($B15,[1]Sheet1!$B$4:$O$55,9,FALSE)</f>
        <v>15</v>
      </c>
      <c r="AH15" s="67">
        <f>VLOOKUP($B15,[1]Sheet1!$B$4:$O$55,10,FALSE)</f>
        <v>55</v>
      </c>
      <c r="AI15" s="60">
        <f t="shared" si="30"/>
        <v>70</v>
      </c>
      <c r="AJ15" s="64">
        <f t="shared" si="31"/>
        <v>12</v>
      </c>
      <c r="AK15" s="67">
        <f t="shared" si="32"/>
        <v>35</v>
      </c>
      <c r="AL15" s="60">
        <f t="shared" si="33"/>
        <v>47</v>
      </c>
      <c r="AM15" s="64">
        <f>VLOOKUP($B15,[1]Sheet2!$B$4:$O$55,3,FALSE)</f>
        <v>2</v>
      </c>
      <c r="AN15" s="67">
        <f>VLOOKUP($B15,[1]Sheet2!$B$4:$O$55,4,FALSE)</f>
        <v>5</v>
      </c>
      <c r="AO15" s="60">
        <f t="shared" si="34"/>
        <v>7</v>
      </c>
      <c r="AP15" s="64">
        <f>VLOOKUP($B15,[1]Sheet2!$B$4:$O$55,6,FALSE)</f>
        <v>5</v>
      </c>
      <c r="AQ15" s="67">
        <f>VLOOKUP($B15,[1]Sheet2!$B$4:$O$55,7,FALSE)</f>
        <v>7</v>
      </c>
      <c r="AR15" s="60">
        <f t="shared" si="35"/>
        <v>12</v>
      </c>
      <c r="AS15" s="64">
        <f>VLOOKUP($B15,[1]Sheet2!$B$4:$O$55,9,FALSE)</f>
        <v>5</v>
      </c>
      <c r="AT15" s="67">
        <f>VLOOKUP($B15,[1]Sheet2!$B$4:$O$55,10,FALSE)</f>
        <v>23</v>
      </c>
      <c r="AU15" s="60">
        <f t="shared" si="36"/>
        <v>28</v>
      </c>
      <c r="AV15" s="64">
        <f t="shared" si="16"/>
        <v>2860</v>
      </c>
      <c r="AW15" s="67">
        <f t="shared" si="16"/>
        <v>4336</v>
      </c>
      <c r="AX15" s="60">
        <f t="shared" si="0"/>
        <v>7196</v>
      </c>
      <c r="AY15" s="64">
        <v>1880</v>
      </c>
      <c r="AZ15" s="67">
        <v>2618</v>
      </c>
      <c r="BA15" s="60">
        <f t="shared" si="1"/>
        <v>4498</v>
      </c>
      <c r="BB15" s="64">
        <v>759</v>
      </c>
      <c r="BC15" s="67">
        <v>1169</v>
      </c>
      <c r="BD15" s="60">
        <f t="shared" si="2"/>
        <v>1928</v>
      </c>
      <c r="BE15" s="64">
        <v>221</v>
      </c>
      <c r="BF15" s="67">
        <v>549</v>
      </c>
      <c r="BG15" s="60">
        <f t="shared" si="3"/>
        <v>770</v>
      </c>
      <c r="BH15" s="64">
        <f t="shared" si="17"/>
        <v>0</v>
      </c>
      <c r="BI15" s="67">
        <f t="shared" si="17"/>
        <v>0</v>
      </c>
      <c r="BJ15" s="60">
        <f t="shared" si="4"/>
        <v>0</v>
      </c>
      <c r="BK15" s="64"/>
      <c r="BL15" s="67"/>
      <c r="BM15" s="60">
        <f t="shared" si="5"/>
        <v>0</v>
      </c>
      <c r="BN15" s="64"/>
      <c r="BO15" s="67"/>
      <c r="BP15" s="60">
        <f t="shared" si="6"/>
        <v>0</v>
      </c>
      <c r="BQ15" s="64"/>
      <c r="BR15" s="67"/>
      <c r="BS15" s="60">
        <f t="shared" si="7"/>
        <v>0</v>
      </c>
      <c r="BT15" s="64">
        <f t="shared" si="18"/>
        <v>0</v>
      </c>
      <c r="BU15" s="67">
        <f t="shared" si="18"/>
        <v>0</v>
      </c>
      <c r="BV15" s="60">
        <f t="shared" si="8"/>
        <v>0</v>
      </c>
      <c r="BW15" s="64"/>
      <c r="BX15" s="67"/>
      <c r="BY15" s="60">
        <f t="shared" si="9"/>
        <v>0</v>
      </c>
      <c r="BZ15" s="64"/>
      <c r="CA15" s="67"/>
      <c r="CB15" s="60">
        <f t="shared" si="10"/>
        <v>0</v>
      </c>
      <c r="CC15" s="64"/>
      <c r="CD15" s="67"/>
      <c r="CE15" s="60">
        <f t="shared" si="11"/>
        <v>0</v>
      </c>
      <c r="CF15" s="64">
        <f t="shared" si="19"/>
        <v>0</v>
      </c>
      <c r="CG15" s="67">
        <f t="shared" si="19"/>
        <v>0</v>
      </c>
      <c r="CH15" s="60">
        <f t="shared" si="12"/>
        <v>0</v>
      </c>
      <c r="CI15" s="64"/>
      <c r="CJ15" s="67"/>
      <c r="CK15" s="60">
        <f t="shared" si="13"/>
        <v>0</v>
      </c>
      <c r="CL15" s="64"/>
      <c r="CM15" s="67"/>
      <c r="CN15" s="60">
        <f t="shared" si="14"/>
        <v>0</v>
      </c>
      <c r="CO15" s="64"/>
      <c r="CP15" s="67"/>
      <c r="CQ15" s="60">
        <f t="shared" si="15"/>
        <v>0</v>
      </c>
      <c r="CR15" s="56" t="s">
        <v>384</v>
      </c>
    </row>
    <row r="16" spans="2:96">
      <c r="B16" s="61" t="s">
        <v>41</v>
      </c>
      <c r="C16" s="64">
        <f t="shared" si="20"/>
        <v>0</v>
      </c>
      <c r="D16" s="67">
        <f t="shared" si="20"/>
        <v>0</v>
      </c>
      <c r="E16" s="60">
        <f t="shared" si="21"/>
        <v>0</v>
      </c>
      <c r="F16" s="64"/>
      <c r="G16" s="67"/>
      <c r="H16" s="60">
        <f t="shared" si="22"/>
        <v>0</v>
      </c>
      <c r="I16" s="64"/>
      <c r="J16" s="67"/>
      <c r="K16" s="60">
        <f t="shared" si="23"/>
        <v>0</v>
      </c>
      <c r="L16" s="64"/>
      <c r="M16" s="67"/>
      <c r="N16" s="60">
        <f t="shared" si="24"/>
        <v>0</v>
      </c>
      <c r="O16" s="64"/>
      <c r="P16" s="67"/>
      <c r="Q16" s="69"/>
      <c r="R16" s="64"/>
      <c r="S16" s="67"/>
      <c r="T16" s="69"/>
      <c r="U16" s="64"/>
      <c r="V16" s="67"/>
      <c r="W16" s="69"/>
      <c r="X16" s="64">
        <f t="shared" si="25"/>
        <v>14</v>
      </c>
      <c r="Y16" s="67">
        <f t="shared" si="26"/>
        <v>42</v>
      </c>
      <c r="Z16" s="60">
        <f t="shared" si="27"/>
        <v>56</v>
      </c>
      <c r="AA16" s="64">
        <f>VLOOKUP($B16,[1]Sheet1!$B$4:$O$55,3,FALSE)</f>
        <v>3</v>
      </c>
      <c r="AB16" s="67">
        <f>VLOOKUP($B16,[1]Sheet1!$B$4:$O$55,4,FALSE)</f>
        <v>6</v>
      </c>
      <c r="AC16" s="60">
        <f t="shared" si="28"/>
        <v>9</v>
      </c>
      <c r="AD16" s="64">
        <f>VLOOKUP($B16,[1]Sheet1!$B$4:$O$55,6,FALSE)</f>
        <v>8</v>
      </c>
      <c r="AE16" s="67">
        <f>VLOOKUP($B16,[1]Sheet1!$B$4:$O$55,7,FALSE)</f>
        <v>13</v>
      </c>
      <c r="AF16" s="60">
        <f t="shared" si="29"/>
        <v>21</v>
      </c>
      <c r="AG16" s="64">
        <f>VLOOKUP($B16,[1]Sheet1!$B$4:$O$55,9,FALSE)</f>
        <v>3</v>
      </c>
      <c r="AH16" s="67">
        <f>VLOOKUP($B16,[1]Sheet1!$B$4:$O$55,10,FALSE)</f>
        <v>23</v>
      </c>
      <c r="AI16" s="60">
        <f t="shared" si="30"/>
        <v>26</v>
      </c>
      <c r="AJ16" s="64">
        <f t="shared" si="31"/>
        <v>3</v>
      </c>
      <c r="AK16" s="67">
        <f t="shared" si="32"/>
        <v>13</v>
      </c>
      <c r="AL16" s="60">
        <f t="shared" si="33"/>
        <v>16</v>
      </c>
      <c r="AM16" s="64">
        <f>VLOOKUP($B16,[1]Sheet2!$B$4:$O$55,3,FALSE)</f>
        <v>1</v>
      </c>
      <c r="AN16" s="67">
        <f>VLOOKUP($B16,[1]Sheet2!$B$4:$O$55,4,FALSE)</f>
        <v>2</v>
      </c>
      <c r="AO16" s="60">
        <f t="shared" si="34"/>
        <v>3</v>
      </c>
      <c r="AP16" s="64">
        <f>VLOOKUP($B16,[1]Sheet2!$B$4:$O$55,6,FALSE)</f>
        <v>1</v>
      </c>
      <c r="AQ16" s="67">
        <f>VLOOKUP($B16,[1]Sheet2!$B$4:$O$55,7,FALSE)</f>
        <v>5</v>
      </c>
      <c r="AR16" s="60">
        <f t="shared" si="35"/>
        <v>6</v>
      </c>
      <c r="AS16" s="64">
        <f>VLOOKUP($B16,[1]Sheet2!$B$4:$O$55,9,FALSE)</f>
        <v>1</v>
      </c>
      <c r="AT16" s="67">
        <f>VLOOKUP($B16,[1]Sheet2!$B$4:$O$55,10,FALSE)</f>
        <v>6</v>
      </c>
      <c r="AU16" s="60">
        <f t="shared" si="36"/>
        <v>7</v>
      </c>
      <c r="AV16" s="64">
        <f t="shared" si="16"/>
        <v>4058</v>
      </c>
      <c r="AW16" s="67">
        <f t="shared" si="16"/>
        <v>3939</v>
      </c>
      <c r="AX16" s="60">
        <f t="shared" si="0"/>
        <v>7997</v>
      </c>
      <c r="AY16" s="64">
        <v>1824</v>
      </c>
      <c r="AZ16" s="67">
        <v>2702</v>
      </c>
      <c r="BA16" s="60">
        <f t="shared" si="1"/>
        <v>4526</v>
      </c>
      <c r="BB16" s="64">
        <v>1498</v>
      </c>
      <c r="BC16" s="67">
        <v>911</v>
      </c>
      <c r="BD16" s="60">
        <f t="shared" si="2"/>
        <v>2409</v>
      </c>
      <c r="BE16" s="64">
        <v>736</v>
      </c>
      <c r="BF16" s="67">
        <v>326</v>
      </c>
      <c r="BG16" s="60">
        <f t="shared" si="3"/>
        <v>1062</v>
      </c>
      <c r="BH16" s="64">
        <f t="shared" si="17"/>
        <v>123</v>
      </c>
      <c r="BI16" s="67">
        <f t="shared" si="17"/>
        <v>191</v>
      </c>
      <c r="BJ16" s="60">
        <f t="shared" si="4"/>
        <v>314</v>
      </c>
      <c r="BK16" s="64">
        <v>70</v>
      </c>
      <c r="BL16" s="67">
        <v>73</v>
      </c>
      <c r="BM16" s="60">
        <f t="shared" si="5"/>
        <v>143</v>
      </c>
      <c r="BN16" s="64">
        <v>40</v>
      </c>
      <c r="BO16" s="67">
        <v>71</v>
      </c>
      <c r="BP16" s="60">
        <f t="shared" si="6"/>
        <v>111</v>
      </c>
      <c r="BQ16" s="64">
        <v>13</v>
      </c>
      <c r="BR16" s="67">
        <v>47</v>
      </c>
      <c r="BS16" s="60">
        <f t="shared" si="7"/>
        <v>60</v>
      </c>
      <c r="BT16" s="64">
        <f t="shared" si="18"/>
        <v>0</v>
      </c>
      <c r="BU16" s="67">
        <f t="shared" si="18"/>
        <v>0</v>
      </c>
      <c r="BV16" s="60">
        <f t="shared" si="8"/>
        <v>0</v>
      </c>
      <c r="BW16" s="64"/>
      <c r="BX16" s="67"/>
      <c r="BY16" s="60">
        <f t="shared" si="9"/>
        <v>0</v>
      </c>
      <c r="BZ16" s="64"/>
      <c r="CA16" s="67"/>
      <c r="CB16" s="60">
        <f t="shared" si="10"/>
        <v>0</v>
      </c>
      <c r="CC16" s="64"/>
      <c r="CD16" s="67"/>
      <c r="CE16" s="60">
        <f t="shared" si="11"/>
        <v>0</v>
      </c>
      <c r="CF16" s="64">
        <f t="shared" si="19"/>
        <v>0</v>
      </c>
      <c r="CG16" s="67">
        <f t="shared" si="19"/>
        <v>0</v>
      </c>
      <c r="CH16" s="60">
        <f t="shared" si="12"/>
        <v>0</v>
      </c>
      <c r="CI16" s="64"/>
      <c r="CJ16" s="67"/>
      <c r="CK16" s="60">
        <f t="shared" si="13"/>
        <v>0</v>
      </c>
      <c r="CL16" s="64"/>
      <c r="CM16" s="67"/>
      <c r="CN16" s="60">
        <f t="shared" si="14"/>
        <v>0</v>
      </c>
      <c r="CO16" s="64"/>
      <c r="CP16" s="67"/>
      <c r="CQ16" s="60">
        <f t="shared" si="15"/>
        <v>0</v>
      </c>
    </row>
    <row r="17" spans="2:96">
      <c r="B17" s="61" t="s">
        <v>42</v>
      </c>
      <c r="C17" s="64">
        <f t="shared" si="20"/>
        <v>15</v>
      </c>
      <c r="D17" s="67">
        <f t="shared" si="20"/>
        <v>18</v>
      </c>
      <c r="E17" s="60">
        <f t="shared" si="21"/>
        <v>33</v>
      </c>
      <c r="F17" s="64">
        <v>5</v>
      </c>
      <c r="G17" s="67">
        <v>1</v>
      </c>
      <c r="H17" s="60">
        <f t="shared" si="22"/>
        <v>6</v>
      </c>
      <c r="I17" s="64">
        <v>3</v>
      </c>
      <c r="J17" s="67">
        <v>3</v>
      </c>
      <c r="K17" s="60">
        <f t="shared" si="23"/>
        <v>6</v>
      </c>
      <c r="L17" s="64">
        <v>7</v>
      </c>
      <c r="M17" s="67">
        <v>14</v>
      </c>
      <c r="N17" s="60">
        <f t="shared" si="24"/>
        <v>21</v>
      </c>
      <c r="O17" s="64"/>
      <c r="P17" s="67"/>
      <c r="Q17" s="69"/>
      <c r="R17" s="64"/>
      <c r="S17" s="67"/>
      <c r="T17" s="69"/>
      <c r="U17" s="64"/>
      <c r="V17" s="67"/>
      <c r="W17" s="69"/>
      <c r="X17" s="64">
        <f t="shared" si="25"/>
        <v>47</v>
      </c>
      <c r="Y17" s="67">
        <f t="shared" si="26"/>
        <v>103</v>
      </c>
      <c r="Z17" s="60">
        <f t="shared" si="27"/>
        <v>150</v>
      </c>
      <c r="AA17" s="64">
        <f>VLOOKUP($B17,[1]Sheet1!$B$4:$O$55,3,FALSE)</f>
        <v>13</v>
      </c>
      <c r="AB17" s="67">
        <f>VLOOKUP($B17,[1]Sheet1!$B$4:$O$55,4,FALSE)</f>
        <v>14</v>
      </c>
      <c r="AC17" s="60">
        <f t="shared" si="28"/>
        <v>27</v>
      </c>
      <c r="AD17" s="64">
        <f>VLOOKUP($B17,[1]Sheet1!$B$4:$O$55,6,FALSE)</f>
        <v>17</v>
      </c>
      <c r="AE17" s="67">
        <f>VLOOKUP($B17,[1]Sheet1!$B$4:$O$55,7,FALSE)</f>
        <v>31</v>
      </c>
      <c r="AF17" s="60">
        <f t="shared" si="29"/>
        <v>48</v>
      </c>
      <c r="AG17" s="64">
        <f>VLOOKUP($B17,[1]Sheet1!$B$4:$O$55,9,FALSE)</f>
        <v>17</v>
      </c>
      <c r="AH17" s="67">
        <f>VLOOKUP($B17,[1]Sheet1!$B$4:$O$55,10,FALSE)</f>
        <v>58</v>
      </c>
      <c r="AI17" s="60">
        <f t="shared" si="30"/>
        <v>75</v>
      </c>
      <c r="AJ17" s="64">
        <f t="shared" si="31"/>
        <v>13</v>
      </c>
      <c r="AK17" s="67">
        <f t="shared" si="32"/>
        <v>29</v>
      </c>
      <c r="AL17" s="60">
        <f t="shared" si="33"/>
        <v>42</v>
      </c>
      <c r="AM17" s="64">
        <f>VLOOKUP($B17,[1]Sheet2!$B$4:$O$55,3,FALSE)</f>
        <v>5</v>
      </c>
      <c r="AN17" s="67">
        <f>VLOOKUP($B17,[1]Sheet2!$B$4:$O$55,4,FALSE)</f>
        <v>7</v>
      </c>
      <c r="AO17" s="60">
        <f t="shared" si="34"/>
        <v>12</v>
      </c>
      <c r="AP17" s="64">
        <f>VLOOKUP($B17,[1]Sheet2!$B$4:$O$55,6,FALSE)</f>
        <v>6</v>
      </c>
      <c r="AQ17" s="67">
        <f>VLOOKUP($B17,[1]Sheet2!$B$4:$O$55,7,FALSE)</f>
        <v>12</v>
      </c>
      <c r="AR17" s="60">
        <f t="shared" si="35"/>
        <v>18</v>
      </c>
      <c r="AS17" s="64">
        <f>VLOOKUP($B17,[1]Sheet2!$B$4:$O$55,9,FALSE)</f>
        <v>2</v>
      </c>
      <c r="AT17" s="67">
        <f>VLOOKUP($B17,[1]Sheet2!$B$4:$O$55,10,FALSE)</f>
        <v>10</v>
      </c>
      <c r="AU17" s="60">
        <f t="shared" si="36"/>
        <v>12</v>
      </c>
      <c r="AV17" s="64">
        <f t="shared" si="16"/>
        <v>5628</v>
      </c>
      <c r="AW17" s="67">
        <f t="shared" si="16"/>
        <v>8802</v>
      </c>
      <c r="AX17" s="60">
        <f t="shared" si="0"/>
        <v>14430</v>
      </c>
      <c r="AY17" s="64">
        <v>3584</v>
      </c>
      <c r="AZ17" s="67">
        <v>5116</v>
      </c>
      <c r="BA17" s="60">
        <f t="shared" si="1"/>
        <v>8700</v>
      </c>
      <c r="BB17" s="64">
        <v>1510</v>
      </c>
      <c r="BC17" s="67">
        <v>2388</v>
      </c>
      <c r="BD17" s="60">
        <f t="shared" si="2"/>
        <v>3898</v>
      </c>
      <c r="BE17" s="64">
        <v>534</v>
      </c>
      <c r="BF17" s="67">
        <v>1298</v>
      </c>
      <c r="BG17" s="60">
        <f t="shared" si="3"/>
        <v>1832</v>
      </c>
      <c r="BH17" s="64">
        <f t="shared" si="17"/>
        <v>276</v>
      </c>
      <c r="BI17" s="67">
        <f t="shared" si="17"/>
        <v>316</v>
      </c>
      <c r="BJ17" s="60">
        <f t="shared" si="4"/>
        <v>592</v>
      </c>
      <c r="BK17" s="64">
        <v>125</v>
      </c>
      <c r="BL17" s="67">
        <v>123</v>
      </c>
      <c r="BM17" s="60">
        <f t="shared" si="5"/>
        <v>248</v>
      </c>
      <c r="BN17" s="64">
        <v>101</v>
      </c>
      <c r="BO17" s="67">
        <v>94</v>
      </c>
      <c r="BP17" s="60">
        <f t="shared" si="6"/>
        <v>195</v>
      </c>
      <c r="BQ17" s="64">
        <v>50</v>
      </c>
      <c r="BR17" s="67">
        <v>99</v>
      </c>
      <c r="BS17" s="60">
        <f t="shared" si="7"/>
        <v>149</v>
      </c>
      <c r="BT17" s="64">
        <f t="shared" si="18"/>
        <v>28</v>
      </c>
      <c r="BU17" s="67">
        <f t="shared" si="18"/>
        <v>49</v>
      </c>
      <c r="BV17" s="60">
        <f t="shared" si="8"/>
        <v>77</v>
      </c>
      <c r="BW17" s="64">
        <v>25</v>
      </c>
      <c r="BX17" s="67">
        <v>23</v>
      </c>
      <c r="BY17" s="60">
        <f t="shared" si="9"/>
        <v>48</v>
      </c>
      <c r="BZ17" s="64">
        <v>3</v>
      </c>
      <c r="CA17" s="67">
        <v>16</v>
      </c>
      <c r="CB17" s="60">
        <f t="shared" si="10"/>
        <v>19</v>
      </c>
      <c r="CC17" s="64">
        <v>0</v>
      </c>
      <c r="CD17" s="67">
        <v>10</v>
      </c>
      <c r="CE17" s="60">
        <f t="shared" si="11"/>
        <v>10</v>
      </c>
      <c r="CF17" s="64">
        <f t="shared" si="19"/>
        <v>0</v>
      </c>
      <c r="CG17" s="67">
        <f t="shared" si="19"/>
        <v>0</v>
      </c>
      <c r="CH17" s="60">
        <f t="shared" si="12"/>
        <v>0</v>
      </c>
      <c r="CI17" s="64"/>
      <c r="CJ17" s="67"/>
      <c r="CK17" s="60">
        <f t="shared" si="13"/>
        <v>0</v>
      </c>
      <c r="CL17" s="64"/>
      <c r="CM17" s="67"/>
      <c r="CN17" s="60">
        <f t="shared" si="14"/>
        <v>0</v>
      </c>
      <c r="CO17" s="64"/>
      <c r="CP17" s="67"/>
      <c r="CQ17" s="60">
        <f t="shared" si="15"/>
        <v>0</v>
      </c>
    </row>
    <row r="18" spans="2:96">
      <c r="B18" s="61" t="s">
        <v>43</v>
      </c>
      <c r="C18" s="64">
        <f t="shared" si="20"/>
        <v>4</v>
      </c>
      <c r="D18" s="67">
        <f t="shared" si="20"/>
        <v>4</v>
      </c>
      <c r="E18" s="60">
        <f t="shared" si="21"/>
        <v>8</v>
      </c>
      <c r="F18" s="64">
        <v>1</v>
      </c>
      <c r="G18" s="67">
        <v>1</v>
      </c>
      <c r="H18" s="60">
        <f t="shared" si="22"/>
        <v>2</v>
      </c>
      <c r="I18" s="64">
        <v>1</v>
      </c>
      <c r="J18" s="67">
        <v>0</v>
      </c>
      <c r="K18" s="60">
        <f t="shared" si="23"/>
        <v>1</v>
      </c>
      <c r="L18" s="64">
        <v>2</v>
      </c>
      <c r="M18" s="67">
        <v>3</v>
      </c>
      <c r="N18" s="60">
        <f t="shared" si="24"/>
        <v>5</v>
      </c>
      <c r="O18" s="64" t="s">
        <v>385</v>
      </c>
      <c r="P18" s="67" t="s">
        <v>386</v>
      </c>
      <c r="Q18" s="69"/>
      <c r="R18" s="64" t="s">
        <v>387</v>
      </c>
      <c r="S18" s="67"/>
      <c r="T18" s="69"/>
      <c r="U18" s="64" t="s">
        <v>100</v>
      </c>
      <c r="V18" s="67" t="s">
        <v>388</v>
      </c>
      <c r="W18" s="69"/>
      <c r="X18" s="64">
        <f t="shared" si="25"/>
        <v>89</v>
      </c>
      <c r="Y18" s="67">
        <f t="shared" si="26"/>
        <v>123</v>
      </c>
      <c r="Z18" s="60">
        <f t="shared" si="27"/>
        <v>212</v>
      </c>
      <c r="AA18" s="64">
        <f>VLOOKUP($B18,[1]Sheet1!$B$4:$O$55,3,FALSE)</f>
        <v>21</v>
      </c>
      <c r="AB18" s="67">
        <f>VLOOKUP($B18,[1]Sheet1!$B$4:$O$55,4,FALSE)</f>
        <v>34</v>
      </c>
      <c r="AC18" s="60">
        <f t="shared" si="28"/>
        <v>55</v>
      </c>
      <c r="AD18" s="64">
        <f>VLOOKUP($B18,[1]Sheet1!$B$4:$O$55,6,FALSE)</f>
        <v>28</v>
      </c>
      <c r="AE18" s="67">
        <f>VLOOKUP($B18,[1]Sheet1!$B$4:$O$55,7,FALSE)</f>
        <v>23</v>
      </c>
      <c r="AF18" s="60">
        <f t="shared" si="29"/>
        <v>51</v>
      </c>
      <c r="AG18" s="64">
        <f>VLOOKUP($B18,[1]Sheet1!$B$4:$O$55,9,FALSE)</f>
        <v>40</v>
      </c>
      <c r="AH18" s="67">
        <f>VLOOKUP($B18,[1]Sheet1!$B$4:$O$55,10,FALSE)</f>
        <v>66</v>
      </c>
      <c r="AI18" s="60">
        <f t="shared" si="30"/>
        <v>106</v>
      </c>
      <c r="AJ18" s="64">
        <f t="shared" si="31"/>
        <v>42</v>
      </c>
      <c r="AK18" s="67">
        <f t="shared" si="32"/>
        <v>74</v>
      </c>
      <c r="AL18" s="60">
        <f t="shared" si="33"/>
        <v>116</v>
      </c>
      <c r="AM18" s="64">
        <f>VLOOKUP($B18,[1]Sheet2!$B$4:$O$55,3,FALSE)</f>
        <v>7</v>
      </c>
      <c r="AN18" s="67">
        <f>VLOOKUP($B18,[1]Sheet2!$B$4:$O$55,4,FALSE)</f>
        <v>21</v>
      </c>
      <c r="AO18" s="60">
        <f t="shared" si="34"/>
        <v>28</v>
      </c>
      <c r="AP18" s="64">
        <f>VLOOKUP($B18,[1]Sheet2!$B$4:$O$55,6,FALSE)</f>
        <v>18</v>
      </c>
      <c r="AQ18" s="67">
        <f>VLOOKUP($B18,[1]Sheet2!$B$4:$O$55,7,FALSE)</f>
        <v>17</v>
      </c>
      <c r="AR18" s="60">
        <f t="shared" si="35"/>
        <v>35</v>
      </c>
      <c r="AS18" s="64">
        <f>VLOOKUP($B18,[1]Sheet2!$B$4:$O$55,9,FALSE)</f>
        <v>17</v>
      </c>
      <c r="AT18" s="67">
        <f>VLOOKUP($B18,[1]Sheet2!$B$4:$O$55,10,FALSE)</f>
        <v>36</v>
      </c>
      <c r="AU18" s="60">
        <f t="shared" si="36"/>
        <v>53</v>
      </c>
      <c r="AV18" s="64">
        <f t="shared" si="16"/>
        <v>6488</v>
      </c>
      <c r="AW18" s="67">
        <f t="shared" si="16"/>
        <v>9653</v>
      </c>
      <c r="AX18" s="60">
        <f t="shared" si="0"/>
        <v>16141</v>
      </c>
      <c r="AY18" s="64">
        <v>4139</v>
      </c>
      <c r="AZ18" s="67">
        <v>5630</v>
      </c>
      <c r="BA18" s="60">
        <f t="shared" si="1"/>
        <v>9769</v>
      </c>
      <c r="BB18" s="64">
        <v>1728</v>
      </c>
      <c r="BC18" s="67">
        <v>2612</v>
      </c>
      <c r="BD18" s="60">
        <f t="shared" si="2"/>
        <v>4340</v>
      </c>
      <c r="BE18" s="64">
        <v>621</v>
      </c>
      <c r="BF18" s="67">
        <v>1411</v>
      </c>
      <c r="BG18" s="60">
        <f t="shared" si="3"/>
        <v>2032</v>
      </c>
      <c r="BH18" s="64">
        <f t="shared" si="17"/>
        <v>221</v>
      </c>
      <c r="BI18" s="67">
        <f t="shared" si="17"/>
        <v>467</v>
      </c>
      <c r="BJ18" s="60">
        <f t="shared" si="4"/>
        <v>688</v>
      </c>
      <c r="BK18" s="64">
        <v>146</v>
      </c>
      <c r="BL18" s="67">
        <v>342</v>
      </c>
      <c r="BM18" s="60">
        <f t="shared" si="5"/>
        <v>488</v>
      </c>
      <c r="BN18" s="64">
        <v>62</v>
      </c>
      <c r="BO18" s="67">
        <v>102</v>
      </c>
      <c r="BP18" s="60">
        <f t="shared" si="6"/>
        <v>164</v>
      </c>
      <c r="BQ18" s="64">
        <v>13</v>
      </c>
      <c r="BR18" s="67">
        <v>23</v>
      </c>
      <c r="BS18" s="60">
        <f t="shared" si="7"/>
        <v>36</v>
      </c>
      <c r="BT18" s="64">
        <f t="shared" si="18"/>
        <v>67</v>
      </c>
      <c r="BU18" s="67">
        <f t="shared" si="18"/>
        <v>115</v>
      </c>
      <c r="BV18" s="60">
        <f t="shared" si="8"/>
        <v>182</v>
      </c>
      <c r="BW18" s="64">
        <v>45</v>
      </c>
      <c r="BX18" s="67">
        <v>65</v>
      </c>
      <c r="BY18" s="60">
        <f t="shared" si="9"/>
        <v>110</v>
      </c>
      <c r="BZ18" s="64">
        <v>16</v>
      </c>
      <c r="CA18" s="67">
        <v>30</v>
      </c>
      <c r="CB18" s="60">
        <f t="shared" si="10"/>
        <v>46</v>
      </c>
      <c r="CC18" s="64">
        <v>6</v>
      </c>
      <c r="CD18" s="67">
        <v>20</v>
      </c>
      <c r="CE18" s="60">
        <f t="shared" si="11"/>
        <v>26</v>
      </c>
      <c r="CF18" s="64">
        <f t="shared" si="19"/>
        <v>233</v>
      </c>
      <c r="CG18" s="67">
        <f t="shared" si="19"/>
        <v>270</v>
      </c>
      <c r="CH18" s="60">
        <f t="shared" si="12"/>
        <v>503</v>
      </c>
      <c r="CI18" s="64">
        <v>160</v>
      </c>
      <c r="CJ18" s="67">
        <v>168</v>
      </c>
      <c r="CK18" s="60">
        <f t="shared" si="13"/>
        <v>328</v>
      </c>
      <c r="CL18" s="64">
        <v>57</v>
      </c>
      <c r="CM18" s="67">
        <v>82</v>
      </c>
      <c r="CN18" s="60">
        <f t="shared" si="14"/>
        <v>139</v>
      </c>
      <c r="CO18" s="64">
        <v>16</v>
      </c>
      <c r="CP18" s="67">
        <v>20</v>
      </c>
      <c r="CQ18" s="60">
        <f t="shared" si="15"/>
        <v>36</v>
      </c>
      <c r="CR18" s="56" t="s">
        <v>382</v>
      </c>
    </row>
    <row r="19" spans="2:96">
      <c r="B19" s="61" t="s">
        <v>44</v>
      </c>
      <c r="C19" s="64">
        <f t="shared" si="20"/>
        <v>55</v>
      </c>
      <c r="D19" s="67">
        <f t="shared" si="20"/>
        <v>55</v>
      </c>
      <c r="E19" s="60">
        <f t="shared" si="21"/>
        <v>110</v>
      </c>
      <c r="F19" s="64">
        <v>20</v>
      </c>
      <c r="G19" s="67">
        <v>9</v>
      </c>
      <c r="H19" s="60">
        <f t="shared" si="22"/>
        <v>29</v>
      </c>
      <c r="I19" s="64">
        <v>15</v>
      </c>
      <c r="J19" s="67">
        <v>18</v>
      </c>
      <c r="K19" s="60">
        <f t="shared" si="23"/>
        <v>33</v>
      </c>
      <c r="L19" s="64">
        <v>20</v>
      </c>
      <c r="M19" s="67">
        <v>28</v>
      </c>
      <c r="N19" s="60">
        <f t="shared" si="24"/>
        <v>48</v>
      </c>
      <c r="O19" s="64" t="s">
        <v>94</v>
      </c>
      <c r="P19" s="67" t="s">
        <v>95</v>
      </c>
      <c r="Q19" s="69"/>
      <c r="R19" s="64" t="s">
        <v>96</v>
      </c>
      <c r="S19" s="67" t="s">
        <v>97</v>
      </c>
      <c r="T19" s="69"/>
      <c r="U19" s="64" t="s">
        <v>97</v>
      </c>
      <c r="V19" s="67" t="s">
        <v>98</v>
      </c>
      <c r="W19" s="69"/>
      <c r="X19" s="64">
        <f t="shared" si="25"/>
        <v>55</v>
      </c>
      <c r="Y19" s="67">
        <f t="shared" si="26"/>
        <v>88</v>
      </c>
      <c r="Z19" s="60">
        <f t="shared" si="27"/>
        <v>143</v>
      </c>
      <c r="AA19" s="64">
        <f>VLOOKUP($B19,[1]Sheet1!$B$4:$O$55,3,FALSE)</f>
        <v>16</v>
      </c>
      <c r="AB19" s="67">
        <f>VLOOKUP($B19,[1]Sheet1!$B$4:$O$55,4,FALSE)</f>
        <v>15</v>
      </c>
      <c r="AC19" s="60">
        <f t="shared" si="28"/>
        <v>31</v>
      </c>
      <c r="AD19" s="64">
        <f>VLOOKUP($B19,[1]Sheet1!$B$4:$O$55,6,FALSE)</f>
        <v>13</v>
      </c>
      <c r="AE19" s="67">
        <f>VLOOKUP($B19,[1]Sheet1!$B$4:$O$55,7,FALSE)</f>
        <v>32</v>
      </c>
      <c r="AF19" s="60">
        <f t="shared" si="29"/>
        <v>45</v>
      </c>
      <c r="AG19" s="64">
        <f>VLOOKUP($B19,[1]Sheet1!$B$4:$O$55,9,FALSE)</f>
        <v>26</v>
      </c>
      <c r="AH19" s="67">
        <f>VLOOKUP($B19,[1]Sheet1!$B$4:$O$55,10,FALSE)</f>
        <v>41</v>
      </c>
      <c r="AI19" s="60">
        <f t="shared" si="30"/>
        <v>67</v>
      </c>
      <c r="AJ19" s="64">
        <f t="shared" si="31"/>
        <v>8</v>
      </c>
      <c r="AK19" s="67">
        <f t="shared" si="32"/>
        <v>27</v>
      </c>
      <c r="AL19" s="60">
        <f t="shared" si="33"/>
        <v>35</v>
      </c>
      <c r="AM19" s="64">
        <f>VLOOKUP($B19,[1]Sheet2!$B$4:$O$55,3,FALSE)</f>
        <v>2</v>
      </c>
      <c r="AN19" s="67">
        <f>VLOOKUP($B19,[1]Sheet2!$B$4:$O$55,4,FALSE)</f>
        <v>6</v>
      </c>
      <c r="AO19" s="60">
        <f t="shared" si="34"/>
        <v>8</v>
      </c>
      <c r="AP19" s="64">
        <f>VLOOKUP($B19,[1]Sheet2!$B$4:$O$55,6,FALSE)</f>
        <v>2</v>
      </c>
      <c r="AQ19" s="67">
        <f>VLOOKUP($B19,[1]Sheet2!$B$4:$O$55,7,FALSE)</f>
        <v>11</v>
      </c>
      <c r="AR19" s="60">
        <f t="shared" si="35"/>
        <v>13</v>
      </c>
      <c r="AS19" s="64">
        <f>VLOOKUP($B19,[1]Sheet2!$B$4:$O$55,9,FALSE)</f>
        <v>4</v>
      </c>
      <c r="AT19" s="67">
        <f>VLOOKUP($B19,[1]Sheet2!$B$4:$O$55,10,FALSE)</f>
        <v>10</v>
      </c>
      <c r="AU19" s="60">
        <f t="shared" si="36"/>
        <v>14</v>
      </c>
      <c r="AV19" s="64">
        <f t="shared" si="16"/>
        <v>4161</v>
      </c>
      <c r="AW19" s="67">
        <f t="shared" si="16"/>
        <v>5784</v>
      </c>
      <c r="AX19" s="60">
        <f t="shared" si="0"/>
        <v>9945</v>
      </c>
      <c r="AY19" s="64">
        <v>3700</v>
      </c>
      <c r="AZ19" s="67">
        <v>5032</v>
      </c>
      <c r="BA19" s="60">
        <f t="shared" si="1"/>
        <v>8732</v>
      </c>
      <c r="BB19" s="64">
        <v>380</v>
      </c>
      <c r="BC19" s="67">
        <v>559</v>
      </c>
      <c r="BD19" s="60">
        <f t="shared" si="2"/>
        <v>939</v>
      </c>
      <c r="BE19" s="64">
        <v>81</v>
      </c>
      <c r="BF19" s="67">
        <v>193</v>
      </c>
      <c r="BG19" s="60">
        <f t="shared" si="3"/>
        <v>274</v>
      </c>
      <c r="BH19" s="64">
        <f t="shared" si="17"/>
        <v>241</v>
      </c>
      <c r="BI19" s="67">
        <f t="shared" si="17"/>
        <v>302</v>
      </c>
      <c r="BJ19" s="60">
        <f t="shared" si="4"/>
        <v>543</v>
      </c>
      <c r="BK19" s="64">
        <v>140</v>
      </c>
      <c r="BL19" s="67">
        <v>118</v>
      </c>
      <c r="BM19" s="60">
        <f t="shared" si="5"/>
        <v>258</v>
      </c>
      <c r="BN19" s="64">
        <v>71</v>
      </c>
      <c r="BO19" s="67">
        <v>109</v>
      </c>
      <c r="BP19" s="60">
        <f t="shared" si="6"/>
        <v>180</v>
      </c>
      <c r="BQ19" s="64">
        <v>30</v>
      </c>
      <c r="BR19" s="67">
        <v>75</v>
      </c>
      <c r="BS19" s="60">
        <f t="shared" si="7"/>
        <v>105</v>
      </c>
      <c r="BT19" s="64">
        <f t="shared" si="18"/>
        <v>802</v>
      </c>
      <c r="BU19" s="67">
        <f t="shared" si="18"/>
        <v>1165</v>
      </c>
      <c r="BV19" s="60">
        <f t="shared" si="8"/>
        <v>1967</v>
      </c>
      <c r="BW19" s="64">
        <v>489</v>
      </c>
      <c r="BX19" s="67">
        <v>669</v>
      </c>
      <c r="BY19" s="60">
        <f t="shared" si="9"/>
        <v>1158</v>
      </c>
      <c r="BZ19" s="64">
        <v>247</v>
      </c>
      <c r="CA19" s="67">
        <v>352</v>
      </c>
      <c r="CB19" s="60">
        <f t="shared" si="10"/>
        <v>599</v>
      </c>
      <c r="CC19" s="64">
        <v>66</v>
      </c>
      <c r="CD19" s="67">
        <v>144</v>
      </c>
      <c r="CE19" s="60">
        <f t="shared" si="11"/>
        <v>210</v>
      </c>
      <c r="CF19" s="64">
        <f t="shared" si="19"/>
        <v>3</v>
      </c>
      <c r="CG19" s="67">
        <f t="shared" si="19"/>
        <v>3</v>
      </c>
      <c r="CH19" s="60">
        <f t="shared" si="12"/>
        <v>6</v>
      </c>
      <c r="CI19" s="64">
        <v>3</v>
      </c>
      <c r="CJ19" s="67">
        <v>0</v>
      </c>
      <c r="CK19" s="60">
        <f t="shared" si="13"/>
        <v>3</v>
      </c>
      <c r="CL19" s="64">
        <v>0</v>
      </c>
      <c r="CM19" s="67">
        <v>1</v>
      </c>
      <c r="CN19" s="60">
        <f t="shared" si="14"/>
        <v>1</v>
      </c>
      <c r="CO19" s="64">
        <v>0</v>
      </c>
      <c r="CP19" s="67">
        <v>2</v>
      </c>
      <c r="CQ19" s="60">
        <f t="shared" si="15"/>
        <v>2</v>
      </c>
    </row>
    <row r="20" spans="2:96">
      <c r="B20" s="61" t="s">
        <v>45</v>
      </c>
      <c r="C20" s="64">
        <f t="shared" si="20"/>
        <v>100</v>
      </c>
      <c r="D20" s="67">
        <f t="shared" si="20"/>
        <v>106</v>
      </c>
      <c r="E20" s="60">
        <f t="shared" si="21"/>
        <v>206</v>
      </c>
      <c r="F20" s="64">
        <v>38</v>
      </c>
      <c r="G20" s="67">
        <v>24</v>
      </c>
      <c r="H20" s="60">
        <f t="shared" si="22"/>
        <v>62</v>
      </c>
      <c r="I20" s="64">
        <v>37</v>
      </c>
      <c r="J20" s="67">
        <v>33</v>
      </c>
      <c r="K20" s="60">
        <f t="shared" si="23"/>
        <v>70</v>
      </c>
      <c r="L20" s="64">
        <v>25</v>
      </c>
      <c r="M20" s="67">
        <v>49</v>
      </c>
      <c r="N20" s="60">
        <f t="shared" si="24"/>
        <v>74</v>
      </c>
      <c r="O20" s="64" t="s">
        <v>389</v>
      </c>
      <c r="P20" s="67" t="s">
        <v>389</v>
      </c>
      <c r="Q20" s="69"/>
      <c r="R20" s="64" t="s">
        <v>389</v>
      </c>
      <c r="S20" s="67" t="s">
        <v>389</v>
      </c>
      <c r="T20" s="69"/>
      <c r="U20" s="64" t="s">
        <v>389</v>
      </c>
      <c r="V20" s="67" t="s">
        <v>389</v>
      </c>
      <c r="W20" s="69"/>
      <c r="X20" s="64">
        <f t="shared" si="25"/>
        <v>68</v>
      </c>
      <c r="Y20" s="67">
        <f t="shared" si="26"/>
        <v>118</v>
      </c>
      <c r="Z20" s="60">
        <f t="shared" si="27"/>
        <v>186</v>
      </c>
      <c r="AA20" s="64">
        <f>VLOOKUP($B20,[1]Sheet1!$B$4:$O$55,3,FALSE)</f>
        <v>21</v>
      </c>
      <c r="AB20" s="67">
        <f>VLOOKUP($B20,[1]Sheet1!$B$4:$O$55,4,FALSE)</f>
        <v>27</v>
      </c>
      <c r="AC20" s="60">
        <f t="shared" si="28"/>
        <v>48</v>
      </c>
      <c r="AD20" s="64">
        <f>VLOOKUP($B20,[1]Sheet1!$B$4:$O$55,6,FALSE)</f>
        <v>25</v>
      </c>
      <c r="AE20" s="67">
        <f>VLOOKUP($B20,[1]Sheet1!$B$4:$O$55,7,FALSE)</f>
        <v>43</v>
      </c>
      <c r="AF20" s="60">
        <f t="shared" si="29"/>
        <v>68</v>
      </c>
      <c r="AG20" s="64">
        <f>VLOOKUP($B20,[1]Sheet1!$B$4:$O$55,9,FALSE)</f>
        <v>22</v>
      </c>
      <c r="AH20" s="67">
        <f>VLOOKUP($B20,[1]Sheet1!$B$4:$O$55,10,FALSE)</f>
        <v>48</v>
      </c>
      <c r="AI20" s="60">
        <f t="shared" si="30"/>
        <v>70</v>
      </c>
      <c r="AJ20" s="64">
        <f t="shared" si="31"/>
        <v>24</v>
      </c>
      <c r="AK20" s="67">
        <f t="shared" si="32"/>
        <v>44</v>
      </c>
      <c r="AL20" s="60">
        <f t="shared" si="33"/>
        <v>68</v>
      </c>
      <c r="AM20" s="64">
        <f>VLOOKUP($B20,[1]Sheet2!$B$4:$O$55,3,FALSE)</f>
        <v>8</v>
      </c>
      <c r="AN20" s="67">
        <f>VLOOKUP($B20,[1]Sheet2!$B$4:$O$55,4,FALSE)</f>
        <v>11</v>
      </c>
      <c r="AO20" s="60">
        <f t="shared" si="34"/>
        <v>19</v>
      </c>
      <c r="AP20" s="64">
        <f>VLOOKUP($B20,[1]Sheet2!$B$4:$O$55,6,FALSE)</f>
        <v>9</v>
      </c>
      <c r="AQ20" s="67">
        <f>VLOOKUP($B20,[1]Sheet2!$B$4:$O$55,7,FALSE)</f>
        <v>20</v>
      </c>
      <c r="AR20" s="60">
        <f t="shared" si="35"/>
        <v>29</v>
      </c>
      <c r="AS20" s="64">
        <f>VLOOKUP($B20,[1]Sheet2!$B$4:$O$55,9,FALSE)</f>
        <v>7</v>
      </c>
      <c r="AT20" s="67">
        <f>VLOOKUP($B20,[1]Sheet2!$B$4:$O$55,10,FALSE)</f>
        <v>13</v>
      </c>
      <c r="AU20" s="60">
        <f t="shared" si="36"/>
        <v>20</v>
      </c>
      <c r="AV20" s="64">
        <f t="shared" si="16"/>
        <v>5462</v>
      </c>
      <c r="AW20" s="67">
        <f t="shared" si="16"/>
        <v>8421</v>
      </c>
      <c r="AX20" s="60">
        <f t="shared" si="0"/>
        <v>13883</v>
      </c>
      <c r="AY20" s="64">
        <v>3576</v>
      </c>
      <c r="AZ20" s="67">
        <v>4932</v>
      </c>
      <c r="BA20" s="60">
        <f t="shared" si="1"/>
        <v>8508</v>
      </c>
      <c r="BB20" s="64">
        <v>1403</v>
      </c>
      <c r="BC20" s="67">
        <v>2315</v>
      </c>
      <c r="BD20" s="60">
        <f t="shared" si="2"/>
        <v>3718</v>
      </c>
      <c r="BE20" s="64">
        <v>483</v>
      </c>
      <c r="BF20" s="67">
        <v>1174</v>
      </c>
      <c r="BG20" s="60">
        <f t="shared" si="3"/>
        <v>1657</v>
      </c>
      <c r="BH20" s="64">
        <f t="shared" si="17"/>
        <v>426</v>
      </c>
      <c r="BI20" s="67">
        <f t="shared" si="17"/>
        <v>581</v>
      </c>
      <c r="BJ20" s="60">
        <f t="shared" si="4"/>
        <v>1007</v>
      </c>
      <c r="BK20" s="64">
        <v>211</v>
      </c>
      <c r="BL20" s="67">
        <v>213</v>
      </c>
      <c r="BM20" s="60">
        <f t="shared" si="5"/>
        <v>424</v>
      </c>
      <c r="BN20" s="64">
        <v>135</v>
      </c>
      <c r="BO20" s="67">
        <v>201</v>
      </c>
      <c r="BP20" s="60">
        <f t="shared" si="6"/>
        <v>336</v>
      </c>
      <c r="BQ20" s="64">
        <v>80</v>
      </c>
      <c r="BR20" s="67">
        <v>167</v>
      </c>
      <c r="BS20" s="60">
        <f t="shared" si="7"/>
        <v>247</v>
      </c>
      <c r="BT20" s="64">
        <f t="shared" si="18"/>
        <v>1353</v>
      </c>
      <c r="BU20" s="67">
        <f t="shared" si="18"/>
        <v>2169</v>
      </c>
      <c r="BV20" s="60">
        <f t="shared" si="8"/>
        <v>3522</v>
      </c>
      <c r="BW20" s="64">
        <v>910</v>
      </c>
      <c r="BX20" s="67">
        <v>1398</v>
      </c>
      <c r="BY20" s="60">
        <f t="shared" si="9"/>
        <v>2308</v>
      </c>
      <c r="BZ20" s="64">
        <v>350</v>
      </c>
      <c r="CA20" s="67">
        <v>576</v>
      </c>
      <c r="CB20" s="60">
        <f t="shared" si="10"/>
        <v>926</v>
      </c>
      <c r="CC20" s="64">
        <v>93</v>
      </c>
      <c r="CD20" s="67">
        <v>195</v>
      </c>
      <c r="CE20" s="60">
        <f t="shared" si="11"/>
        <v>288</v>
      </c>
      <c r="CF20" s="64">
        <f t="shared" si="19"/>
        <v>0</v>
      </c>
      <c r="CG20" s="67">
        <f t="shared" si="19"/>
        <v>0</v>
      </c>
      <c r="CH20" s="60">
        <f t="shared" si="12"/>
        <v>0</v>
      </c>
      <c r="CI20" s="64"/>
      <c r="CJ20" s="67"/>
      <c r="CK20" s="60">
        <f t="shared" si="13"/>
        <v>0</v>
      </c>
      <c r="CL20" s="64"/>
      <c r="CM20" s="67"/>
      <c r="CN20" s="60">
        <f t="shared" si="14"/>
        <v>0</v>
      </c>
      <c r="CO20" s="64"/>
      <c r="CP20" s="67"/>
      <c r="CQ20" s="60">
        <f t="shared" si="15"/>
        <v>0</v>
      </c>
      <c r="CR20" s="56" t="s">
        <v>382</v>
      </c>
    </row>
    <row r="21" spans="2:96">
      <c r="B21" s="61" t="s">
        <v>46</v>
      </c>
      <c r="C21" s="64">
        <f t="shared" si="20"/>
        <v>2</v>
      </c>
      <c r="D21" s="67">
        <f t="shared" si="20"/>
        <v>2</v>
      </c>
      <c r="E21" s="60">
        <f t="shared" si="21"/>
        <v>4</v>
      </c>
      <c r="F21" s="64">
        <v>1</v>
      </c>
      <c r="G21" s="67">
        <v>1</v>
      </c>
      <c r="H21" s="60">
        <f t="shared" si="22"/>
        <v>2</v>
      </c>
      <c r="I21" s="64">
        <v>1</v>
      </c>
      <c r="J21" s="67">
        <v>0</v>
      </c>
      <c r="K21" s="60">
        <f t="shared" si="23"/>
        <v>1</v>
      </c>
      <c r="L21" s="64">
        <v>0</v>
      </c>
      <c r="M21" s="67">
        <v>1</v>
      </c>
      <c r="N21" s="60">
        <f t="shared" si="24"/>
        <v>1</v>
      </c>
      <c r="O21" s="64" t="s">
        <v>98</v>
      </c>
      <c r="P21" s="67" t="s">
        <v>98</v>
      </c>
      <c r="Q21" s="69"/>
      <c r="R21" s="64" t="s">
        <v>98</v>
      </c>
      <c r="S21" s="67" t="s">
        <v>98</v>
      </c>
      <c r="T21" s="69"/>
      <c r="U21" s="64" t="s">
        <v>98</v>
      </c>
      <c r="V21" s="67" t="s">
        <v>98</v>
      </c>
      <c r="W21" s="69"/>
      <c r="X21" s="64">
        <f t="shared" si="25"/>
        <v>26</v>
      </c>
      <c r="Y21" s="67">
        <f t="shared" si="26"/>
        <v>52</v>
      </c>
      <c r="Z21" s="60">
        <f t="shared" si="27"/>
        <v>78</v>
      </c>
      <c r="AA21" s="64">
        <f>VLOOKUP($B21,[1]Sheet1!$B$4:$O$55,3,FALSE)</f>
        <v>6</v>
      </c>
      <c r="AB21" s="67">
        <f>VLOOKUP($B21,[1]Sheet1!$B$4:$O$55,4,FALSE)</f>
        <v>7</v>
      </c>
      <c r="AC21" s="60">
        <f t="shared" si="28"/>
        <v>13</v>
      </c>
      <c r="AD21" s="64">
        <f>VLOOKUP($B21,[1]Sheet1!$B$4:$O$55,6,FALSE)</f>
        <v>10</v>
      </c>
      <c r="AE21" s="67">
        <f>VLOOKUP($B21,[1]Sheet1!$B$4:$O$55,7,FALSE)</f>
        <v>10</v>
      </c>
      <c r="AF21" s="60">
        <f t="shared" si="29"/>
        <v>20</v>
      </c>
      <c r="AG21" s="64">
        <f>VLOOKUP($B21,[1]Sheet1!$B$4:$O$55,9,FALSE)</f>
        <v>10</v>
      </c>
      <c r="AH21" s="67">
        <f>VLOOKUP($B21,[1]Sheet1!$B$4:$O$55,10,FALSE)</f>
        <v>35</v>
      </c>
      <c r="AI21" s="60">
        <f t="shared" si="30"/>
        <v>45</v>
      </c>
      <c r="AJ21" s="64">
        <f t="shared" si="31"/>
        <v>8</v>
      </c>
      <c r="AK21" s="67">
        <f t="shared" si="32"/>
        <v>10</v>
      </c>
      <c r="AL21" s="60">
        <f t="shared" si="33"/>
        <v>18</v>
      </c>
      <c r="AM21" s="64">
        <f>VLOOKUP($B21,[1]Sheet2!$B$4:$O$55,3,FALSE)</f>
        <v>3</v>
      </c>
      <c r="AN21" s="67">
        <f>VLOOKUP($B21,[1]Sheet2!$B$4:$O$55,4,FALSE)</f>
        <v>1</v>
      </c>
      <c r="AO21" s="60">
        <f t="shared" si="34"/>
        <v>4</v>
      </c>
      <c r="AP21" s="64">
        <f>VLOOKUP($B21,[1]Sheet2!$B$4:$O$55,6,FALSE)</f>
        <v>4</v>
      </c>
      <c r="AQ21" s="67">
        <f>VLOOKUP($B21,[1]Sheet2!$B$4:$O$55,7,FALSE)</f>
        <v>3</v>
      </c>
      <c r="AR21" s="60">
        <f t="shared" si="35"/>
        <v>7</v>
      </c>
      <c r="AS21" s="64">
        <f>VLOOKUP($B21,[1]Sheet2!$B$4:$O$55,9,FALSE)</f>
        <v>1</v>
      </c>
      <c r="AT21" s="67">
        <f>VLOOKUP($B21,[1]Sheet2!$B$4:$O$55,10,FALSE)</f>
        <v>6</v>
      </c>
      <c r="AU21" s="60">
        <f t="shared" si="36"/>
        <v>7</v>
      </c>
      <c r="AV21" s="64">
        <f t="shared" si="16"/>
        <v>0</v>
      </c>
      <c r="AW21" s="67">
        <f t="shared" si="16"/>
        <v>0</v>
      </c>
      <c r="AX21" s="60">
        <f t="shared" si="0"/>
        <v>0</v>
      </c>
      <c r="AY21" s="64"/>
      <c r="AZ21" s="67"/>
      <c r="BA21" s="60">
        <f t="shared" si="1"/>
        <v>0</v>
      </c>
      <c r="BB21" s="64"/>
      <c r="BC21" s="67"/>
      <c r="BD21" s="60">
        <f t="shared" si="2"/>
        <v>0</v>
      </c>
      <c r="BE21" s="64"/>
      <c r="BF21" s="67"/>
      <c r="BG21" s="60">
        <f t="shared" si="3"/>
        <v>0</v>
      </c>
      <c r="BH21" s="64">
        <f t="shared" si="17"/>
        <v>0</v>
      </c>
      <c r="BI21" s="67">
        <f t="shared" si="17"/>
        <v>0</v>
      </c>
      <c r="BJ21" s="60">
        <f t="shared" si="4"/>
        <v>0</v>
      </c>
      <c r="BK21" s="64"/>
      <c r="BL21" s="67"/>
      <c r="BM21" s="60">
        <f t="shared" si="5"/>
        <v>0</v>
      </c>
      <c r="BN21" s="64"/>
      <c r="BO21" s="67"/>
      <c r="BP21" s="60">
        <f t="shared" si="6"/>
        <v>0</v>
      </c>
      <c r="BQ21" s="64"/>
      <c r="BR21" s="67"/>
      <c r="BS21" s="60">
        <f t="shared" si="7"/>
        <v>0</v>
      </c>
      <c r="BT21" s="64">
        <f t="shared" si="18"/>
        <v>27</v>
      </c>
      <c r="BU21" s="67">
        <f t="shared" si="18"/>
        <v>51</v>
      </c>
      <c r="BV21" s="60">
        <f t="shared" si="8"/>
        <v>78</v>
      </c>
      <c r="BW21" s="64">
        <v>20</v>
      </c>
      <c r="BX21" s="67">
        <v>26</v>
      </c>
      <c r="BY21" s="60">
        <f t="shared" si="9"/>
        <v>46</v>
      </c>
      <c r="BZ21" s="64">
        <v>7</v>
      </c>
      <c r="CA21" s="67">
        <v>15</v>
      </c>
      <c r="CB21" s="60">
        <f t="shared" si="10"/>
        <v>22</v>
      </c>
      <c r="CC21" s="64">
        <v>0</v>
      </c>
      <c r="CD21" s="67">
        <v>10</v>
      </c>
      <c r="CE21" s="60">
        <f t="shared" si="11"/>
        <v>10</v>
      </c>
      <c r="CF21" s="64">
        <f t="shared" si="19"/>
        <v>0</v>
      </c>
      <c r="CG21" s="67">
        <f t="shared" si="19"/>
        <v>0</v>
      </c>
      <c r="CH21" s="60">
        <f t="shared" si="12"/>
        <v>0</v>
      </c>
      <c r="CI21" s="64"/>
      <c r="CJ21" s="67"/>
      <c r="CK21" s="60">
        <f t="shared" si="13"/>
        <v>0</v>
      </c>
      <c r="CL21" s="64"/>
      <c r="CM21" s="67"/>
      <c r="CN21" s="60">
        <f t="shared" si="14"/>
        <v>0</v>
      </c>
      <c r="CO21" s="64"/>
      <c r="CP21" s="67"/>
      <c r="CQ21" s="60">
        <f t="shared" si="15"/>
        <v>0</v>
      </c>
    </row>
    <row r="22" spans="2:96">
      <c r="B22" s="61" t="s">
        <v>47</v>
      </c>
      <c r="C22" s="64">
        <f t="shared" si="20"/>
        <v>55</v>
      </c>
      <c r="D22" s="67">
        <f t="shared" si="20"/>
        <v>70</v>
      </c>
      <c r="E22" s="60">
        <f t="shared" si="21"/>
        <v>125</v>
      </c>
      <c r="F22" s="64">
        <v>13</v>
      </c>
      <c r="G22" s="67">
        <v>8</v>
      </c>
      <c r="H22" s="60">
        <f t="shared" si="22"/>
        <v>21</v>
      </c>
      <c r="I22" s="64">
        <v>15</v>
      </c>
      <c r="J22" s="67">
        <v>16</v>
      </c>
      <c r="K22" s="60">
        <f t="shared" si="23"/>
        <v>31</v>
      </c>
      <c r="L22" s="64">
        <v>27</v>
      </c>
      <c r="M22" s="67">
        <v>46</v>
      </c>
      <c r="N22" s="60">
        <f t="shared" si="24"/>
        <v>73</v>
      </c>
      <c r="O22" s="64" t="s">
        <v>97</v>
      </c>
      <c r="P22" s="67" t="s">
        <v>97</v>
      </c>
      <c r="Q22" s="69"/>
      <c r="R22" s="64" t="s">
        <v>97</v>
      </c>
      <c r="S22" s="67" t="s">
        <v>97</v>
      </c>
      <c r="T22" s="69"/>
      <c r="U22" s="64" t="s">
        <v>97</v>
      </c>
      <c r="V22" s="67" t="s">
        <v>97</v>
      </c>
      <c r="W22" s="69"/>
      <c r="X22" s="64">
        <f t="shared" si="25"/>
        <v>93</v>
      </c>
      <c r="Y22" s="67">
        <f t="shared" si="26"/>
        <v>120</v>
      </c>
      <c r="Z22" s="60">
        <f t="shared" si="27"/>
        <v>213</v>
      </c>
      <c r="AA22" s="64">
        <f>VLOOKUP($B22,[1]Sheet1!$B$4:$O$55,3,FALSE)</f>
        <v>20</v>
      </c>
      <c r="AB22" s="67">
        <f>VLOOKUP($B22,[1]Sheet1!$B$4:$O$55,4,FALSE)</f>
        <v>16</v>
      </c>
      <c r="AC22" s="60">
        <f t="shared" si="28"/>
        <v>36</v>
      </c>
      <c r="AD22" s="64">
        <f>VLOOKUP($B22,[1]Sheet1!$B$4:$O$55,6,FALSE)</f>
        <v>36</v>
      </c>
      <c r="AE22" s="67">
        <f>VLOOKUP($B22,[1]Sheet1!$B$4:$O$55,7,FALSE)</f>
        <v>32</v>
      </c>
      <c r="AF22" s="60">
        <f t="shared" si="29"/>
        <v>68</v>
      </c>
      <c r="AG22" s="64">
        <f>VLOOKUP($B22,[1]Sheet1!$B$4:$O$55,9,FALSE)</f>
        <v>37</v>
      </c>
      <c r="AH22" s="67">
        <f>VLOOKUP($B22,[1]Sheet1!$B$4:$O$55,10,FALSE)</f>
        <v>72</v>
      </c>
      <c r="AI22" s="60">
        <f t="shared" si="30"/>
        <v>109</v>
      </c>
      <c r="AJ22" s="64">
        <f t="shared" si="31"/>
        <v>17</v>
      </c>
      <c r="AK22" s="67">
        <f t="shared" si="32"/>
        <v>27</v>
      </c>
      <c r="AL22" s="60">
        <f t="shared" si="33"/>
        <v>44</v>
      </c>
      <c r="AM22" s="64">
        <f>VLOOKUP($B22,[1]Sheet2!$B$4:$O$55,3,FALSE)</f>
        <v>6</v>
      </c>
      <c r="AN22" s="67">
        <f>VLOOKUP($B22,[1]Sheet2!$B$4:$O$55,4,FALSE)</f>
        <v>4</v>
      </c>
      <c r="AO22" s="60">
        <f t="shared" si="34"/>
        <v>10</v>
      </c>
      <c r="AP22" s="64">
        <f>VLOOKUP($B22,[1]Sheet2!$B$4:$O$55,6,FALSE)</f>
        <v>5</v>
      </c>
      <c r="AQ22" s="67">
        <f>VLOOKUP($B22,[1]Sheet2!$B$4:$O$55,7,FALSE)</f>
        <v>9</v>
      </c>
      <c r="AR22" s="60">
        <f t="shared" si="35"/>
        <v>14</v>
      </c>
      <c r="AS22" s="64">
        <f>VLOOKUP($B22,[1]Sheet2!$B$4:$O$55,9,FALSE)</f>
        <v>6</v>
      </c>
      <c r="AT22" s="67">
        <f>VLOOKUP($B22,[1]Sheet2!$B$4:$O$55,10,FALSE)</f>
        <v>14</v>
      </c>
      <c r="AU22" s="60">
        <f t="shared" si="36"/>
        <v>20</v>
      </c>
      <c r="AV22" s="64">
        <f t="shared" ref="AV22:AW55" si="37">AY22+BB22+BE22</f>
        <v>5704</v>
      </c>
      <c r="AW22" s="67">
        <f t="shared" si="37"/>
        <v>9236</v>
      </c>
      <c r="AX22" s="60">
        <f t="shared" si="0"/>
        <v>14940</v>
      </c>
      <c r="AY22" s="64">
        <v>3647</v>
      </c>
      <c r="AZ22" s="67">
        <v>5426</v>
      </c>
      <c r="BA22" s="60">
        <f t="shared" si="1"/>
        <v>9073</v>
      </c>
      <c r="BB22" s="64">
        <v>1545</v>
      </c>
      <c r="BC22" s="67">
        <v>2507</v>
      </c>
      <c r="BD22" s="60">
        <f t="shared" si="2"/>
        <v>4052</v>
      </c>
      <c r="BE22" s="64">
        <v>512</v>
      </c>
      <c r="BF22" s="67">
        <v>1303</v>
      </c>
      <c r="BG22" s="60">
        <f t="shared" si="3"/>
        <v>1815</v>
      </c>
      <c r="BH22" s="64">
        <f t="shared" ref="BH22:BI55" si="38">BK22+BN22+BQ22</f>
        <v>255</v>
      </c>
      <c r="BI22" s="67">
        <f t="shared" si="38"/>
        <v>320</v>
      </c>
      <c r="BJ22" s="60">
        <f t="shared" si="4"/>
        <v>575</v>
      </c>
      <c r="BK22" s="64">
        <v>106</v>
      </c>
      <c r="BL22" s="67">
        <v>93</v>
      </c>
      <c r="BM22" s="60">
        <f t="shared" si="5"/>
        <v>199</v>
      </c>
      <c r="BN22" s="64">
        <v>100</v>
      </c>
      <c r="BO22" s="67">
        <v>104</v>
      </c>
      <c r="BP22" s="60">
        <f t="shared" si="6"/>
        <v>204</v>
      </c>
      <c r="BQ22" s="64">
        <v>49</v>
      </c>
      <c r="BR22" s="67">
        <v>123</v>
      </c>
      <c r="BS22" s="60">
        <f t="shared" si="7"/>
        <v>172</v>
      </c>
      <c r="BT22" s="64">
        <f t="shared" ref="BT22:BU55" si="39">BW22+BZ22+CC22</f>
        <v>41</v>
      </c>
      <c r="BU22" s="67">
        <f t="shared" si="39"/>
        <v>68</v>
      </c>
      <c r="BV22" s="60">
        <f t="shared" si="8"/>
        <v>109</v>
      </c>
      <c r="BW22" s="64">
        <v>21</v>
      </c>
      <c r="BX22" s="67">
        <v>31</v>
      </c>
      <c r="BY22" s="60">
        <f t="shared" si="9"/>
        <v>52</v>
      </c>
      <c r="BZ22" s="64">
        <v>15</v>
      </c>
      <c r="CA22" s="67">
        <v>20</v>
      </c>
      <c r="CB22" s="60">
        <f t="shared" si="10"/>
        <v>35</v>
      </c>
      <c r="CC22" s="64">
        <v>5</v>
      </c>
      <c r="CD22" s="67">
        <v>17</v>
      </c>
      <c r="CE22" s="60">
        <f t="shared" si="11"/>
        <v>22</v>
      </c>
      <c r="CF22" s="64">
        <f t="shared" ref="CF22:CG55" si="40">CI22+CL22+CO22</f>
        <v>0</v>
      </c>
      <c r="CG22" s="67">
        <f t="shared" si="40"/>
        <v>0</v>
      </c>
      <c r="CH22" s="60">
        <f t="shared" si="12"/>
        <v>0</v>
      </c>
      <c r="CI22" s="64"/>
      <c r="CJ22" s="67"/>
      <c r="CK22" s="60">
        <f t="shared" si="13"/>
        <v>0</v>
      </c>
      <c r="CL22" s="64"/>
      <c r="CM22" s="67"/>
      <c r="CN22" s="60">
        <f t="shared" si="14"/>
        <v>0</v>
      </c>
      <c r="CO22" s="64"/>
      <c r="CP22" s="67"/>
      <c r="CQ22" s="60">
        <f t="shared" si="15"/>
        <v>0</v>
      </c>
    </row>
    <row r="23" spans="2:96">
      <c r="B23" s="61" t="s">
        <v>49</v>
      </c>
      <c r="C23" s="64">
        <f t="shared" si="20"/>
        <v>158</v>
      </c>
      <c r="D23" s="67">
        <f t="shared" si="20"/>
        <v>174</v>
      </c>
      <c r="E23" s="60">
        <f t="shared" si="21"/>
        <v>332</v>
      </c>
      <c r="F23" s="64">
        <v>45</v>
      </c>
      <c r="G23" s="67">
        <v>41</v>
      </c>
      <c r="H23" s="60">
        <f t="shared" si="22"/>
        <v>86</v>
      </c>
      <c r="I23" s="64">
        <v>62</v>
      </c>
      <c r="J23" s="67">
        <v>39</v>
      </c>
      <c r="K23" s="60">
        <f t="shared" si="23"/>
        <v>101</v>
      </c>
      <c r="L23" s="64">
        <v>51</v>
      </c>
      <c r="M23" s="67">
        <v>94</v>
      </c>
      <c r="N23" s="60">
        <f t="shared" si="24"/>
        <v>145</v>
      </c>
      <c r="O23" s="64" t="s">
        <v>390</v>
      </c>
      <c r="P23" s="67" t="s">
        <v>390</v>
      </c>
      <c r="Q23" s="69"/>
      <c r="R23" s="64" t="s">
        <v>391</v>
      </c>
      <c r="S23" s="67" t="s">
        <v>391</v>
      </c>
      <c r="T23" s="69"/>
      <c r="U23" s="64" t="s">
        <v>392</v>
      </c>
      <c r="V23" s="67" t="s">
        <v>392</v>
      </c>
      <c r="W23" s="69"/>
      <c r="X23" s="64">
        <f t="shared" si="25"/>
        <v>32</v>
      </c>
      <c r="Y23" s="67">
        <f t="shared" si="26"/>
        <v>65</v>
      </c>
      <c r="Z23" s="60">
        <f t="shared" si="27"/>
        <v>97</v>
      </c>
      <c r="AA23" s="64">
        <f>VLOOKUP($B23,[1]Sheet1!$B$4:$O$55,3,FALSE)</f>
        <v>7</v>
      </c>
      <c r="AB23" s="67">
        <f>VLOOKUP($B23,[1]Sheet1!$B$4:$O$55,4,FALSE)</f>
        <v>12</v>
      </c>
      <c r="AC23" s="60">
        <f t="shared" si="28"/>
        <v>19</v>
      </c>
      <c r="AD23" s="64">
        <f>VLOOKUP($B23,[1]Sheet1!$B$4:$O$55,6,FALSE)</f>
        <v>15</v>
      </c>
      <c r="AE23" s="67">
        <f>VLOOKUP($B23,[1]Sheet1!$B$4:$O$55,7,FALSE)</f>
        <v>17</v>
      </c>
      <c r="AF23" s="60">
        <f t="shared" si="29"/>
        <v>32</v>
      </c>
      <c r="AG23" s="64">
        <f>VLOOKUP($B23,[1]Sheet1!$B$4:$O$55,9,FALSE)</f>
        <v>10</v>
      </c>
      <c r="AH23" s="67">
        <f>VLOOKUP($B23,[1]Sheet1!$B$4:$O$55,10,FALSE)</f>
        <v>36</v>
      </c>
      <c r="AI23" s="60">
        <f t="shared" si="30"/>
        <v>46</v>
      </c>
      <c r="AJ23" s="64">
        <f t="shared" si="31"/>
        <v>2</v>
      </c>
      <c r="AK23" s="67">
        <f t="shared" si="32"/>
        <v>8</v>
      </c>
      <c r="AL23" s="60">
        <f t="shared" si="33"/>
        <v>10</v>
      </c>
      <c r="AM23" s="64">
        <f>VLOOKUP($B23,[1]Sheet2!$B$4:$O$55,3,FALSE)</f>
        <v>0</v>
      </c>
      <c r="AN23" s="67">
        <f>VLOOKUP($B23,[1]Sheet2!$B$4:$O$55,4,FALSE)</f>
        <v>1</v>
      </c>
      <c r="AO23" s="60">
        <f t="shared" si="34"/>
        <v>1</v>
      </c>
      <c r="AP23" s="64">
        <f>VLOOKUP($B23,[1]Sheet2!$B$4:$O$55,6,FALSE)</f>
        <v>2</v>
      </c>
      <c r="AQ23" s="67">
        <f>VLOOKUP($B23,[1]Sheet2!$B$4:$O$55,7,FALSE)</f>
        <v>1</v>
      </c>
      <c r="AR23" s="60">
        <f t="shared" si="35"/>
        <v>3</v>
      </c>
      <c r="AS23" s="64">
        <f>VLOOKUP($B23,[1]Sheet2!$B$4:$O$55,9,FALSE)</f>
        <v>0</v>
      </c>
      <c r="AT23" s="67">
        <f>VLOOKUP($B23,[1]Sheet2!$B$4:$O$55,10,FALSE)</f>
        <v>6</v>
      </c>
      <c r="AU23" s="60">
        <f t="shared" si="36"/>
        <v>6</v>
      </c>
      <c r="AV23" s="64">
        <f t="shared" si="37"/>
        <v>6517</v>
      </c>
      <c r="AW23" s="67">
        <f t="shared" si="37"/>
        <v>10375</v>
      </c>
      <c r="AX23" s="60">
        <f t="shared" si="0"/>
        <v>16892</v>
      </c>
      <c r="AY23" s="64">
        <v>3995</v>
      </c>
      <c r="AZ23" s="67">
        <v>6033</v>
      </c>
      <c r="BA23" s="60">
        <f t="shared" si="1"/>
        <v>10028</v>
      </c>
      <c r="BB23" s="64">
        <v>1947</v>
      </c>
      <c r="BC23" s="67">
        <v>3001</v>
      </c>
      <c r="BD23" s="60">
        <f t="shared" si="2"/>
        <v>4948</v>
      </c>
      <c r="BE23" s="64">
        <v>575</v>
      </c>
      <c r="BF23" s="67">
        <v>1341</v>
      </c>
      <c r="BG23" s="60">
        <f t="shared" si="3"/>
        <v>1916</v>
      </c>
      <c r="BH23" s="64">
        <f t="shared" si="38"/>
        <v>348</v>
      </c>
      <c r="BI23" s="67">
        <f t="shared" si="38"/>
        <v>405</v>
      </c>
      <c r="BJ23" s="60">
        <f t="shared" si="4"/>
        <v>753</v>
      </c>
      <c r="BK23" s="64">
        <v>152</v>
      </c>
      <c r="BL23" s="67">
        <v>142</v>
      </c>
      <c r="BM23" s="60">
        <f t="shared" si="5"/>
        <v>294</v>
      </c>
      <c r="BN23" s="64">
        <v>114</v>
      </c>
      <c r="BO23" s="67">
        <v>137</v>
      </c>
      <c r="BP23" s="60">
        <f t="shared" si="6"/>
        <v>251</v>
      </c>
      <c r="BQ23" s="64">
        <v>82</v>
      </c>
      <c r="BR23" s="67">
        <v>126</v>
      </c>
      <c r="BS23" s="60">
        <f t="shared" si="7"/>
        <v>208</v>
      </c>
      <c r="BT23" s="64">
        <f t="shared" si="39"/>
        <v>99</v>
      </c>
      <c r="BU23" s="67">
        <f t="shared" si="39"/>
        <v>146</v>
      </c>
      <c r="BV23" s="60">
        <f t="shared" si="8"/>
        <v>245</v>
      </c>
      <c r="BW23" s="64">
        <v>62</v>
      </c>
      <c r="BX23" s="67">
        <v>86</v>
      </c>
      <c r="BY23" s="60">
        <f t="shared" si="9"/>
        <v>148</v>
      </c>
      <c r="BZ23" s="64">
        <v>25</v>
      </c>
      <c r="CA23" s="67">
        <v>35</v>
      </c>
      <c r="CB23" s="60">
        <f t="shared" si="10"/>
        <v>60</v>
      </c>
      <c r="CC23" s="64">
        <v>12</v>
      </c>
      <c r="CD23" s="67">
        <v>25</v>
      </c>
      <c r="CE23" s="60">
        <f t="shared" si="11"/>
        <v>37</v>
      </c>
      <c r="CF23" s="64">
        <f t="shared" si="40"/>
        <v>0</v>
      </c>
      <c r="CG23" s="67">
        <f t="shared" si="40"/>
        <v>0</v>
      </c>
      <c r="CH23" s="60">
        <f t="shared" si="12"/>
        <v>0</v>
      </c>
      <c r="CI23" s="64"/>
      <c r="CJ23" s="67"/>
      <c r="CK23" s="60">
        <f t="shared" si="13"/>
        <v>0</v>
      </c>
      <c r="CL23" s="64"/>
      <c r="CM23" s="67"/>
      <c r="CN23" s="60">
        <f t="shared" si="14"/>
        <v>0</v>
      </c>
      <c r="CO23" s="64"/>
      <c r="CP23" s="67"/>
      <c r="CQ23" s="60">
        <f t="shared" si="15"/>
        <v>0</v>
      </c>
    </row>
    <row r="24" spans="2:96">
      <c r="B24" s="61" t="s">
        <v>48</v>
      </c>
      <c r="C24" s="64">
        <f t="shared" si="20"/>
        <v>69</v>
      </c>
      <c r="D24" s="67">
        <f t="shared" si="20"/>
        <v>66</v>
      </c>
      <c r="E24" s="60">
        <f t="shared" si="21"/>
        <v>135</v>
      </c>
      <c r="F24" s="64">
        <v>21</v>
      </c>
      <c r="G24" s="67">
        <v>15</v>
      </c>
      <c r="H24" s="60">
        <f t="shared" si="22"/>
        <v>36</v>
      </c>
      <c r="I24" s="64">
        <v>23</v>
      </c>
      <c r="J24" s="67">
        <v>17</v>
      </c>
      <c r="K24" s="60">
        <f t="shared" si="23"/>
        <v>40</v>
      </c>
      <c r="L24" s="64">
        <v>25</v>
      </c>
      <c r="M24" s="67">
        <v>34</v>
      </c>
      <c r="N24" s="60">
        <f t="shared" si="24"/>
        <v>59</v>
      </c>
      <c r="O24" s="64" t="s">
        <v>393</v>
      </c>
      <c r="P24" s="67" t="s">
        <v>96</v>
      </c>
      <c r="Q24" s="69"/>
      <c r="R24" s="64" t="s">
        <v>393</v>
      </c>
      <c r="S24" s="67" t="s">
        <v>96</v>
      </c>
      <c r="T24" s="69"/>
      <c r="U24" s="64" t="s">
        <v>393</v>
      </c>
      <c r="V24" s="67" t="s">
        <v>394</v>
      </c>
      <c r="W24" s="69"/>
      <c r="X24" s="64">
        <f t="shared" si="25"/>
        <v>69</v>
      </c>
      <c r="Y24" s="67">
        <f t="shared" si="26"/>
        <v>106</v>
      </c>
      <c r="Z24" s="60">
        <f t="shared" si="27"/>
        <v>175</v>
      </c>
      <c r="AA24" s="64">
        <f>VLOOKUP($B24,[1]Sheet1!$B$4:$O$55,3,FALSE)</f>
        <v>12</v>
      </c>
      <c r="AB24" s="67">
        <f>VLOOKUP($B24,[1]Sheet1!$B$4:$O$55,4,FALSE)</f>
        <v>10</v>
      </c>
      <c r="AC24" s="60">
        <f t="shared" si="28"/>
        <v>22</v>
      </c>
      <c r="AD24" s="64">
        <f>VLOOKUP($B24,[1]Sheet1!$B$4:$O$55,6,FALSE)</f>
        <v>26</v>
      </c>
      <c r="AE24" s="67">
        <f>VLOOKUP($B24,[1]Sheet1!$B$4:$O$55,7,FALSE)</f>
        <v>27</v>
      </c>
      <c r="AF24" s="60">
        <f t="shared" si="29"/>
        <v>53</v>
      </c>
      <c r="AG24" s="64">
        <f>VLOOKUP($B24,[1]Sheet1!$B$4:$O$55,9,FALSE)</f>
        <v>31</v>
      </c>
      <c r="AH24" s="67">
        <f>VLOOKUP($B24,[1]Sheet1!$B$4:$O$55,10,FALSE)</f>
        <v>69</v>
      </c>
      <c r="AI24" s="60">
        <f t="shared" si="30"/>
        <v>100</v>
      </c>
      <c r="AJ24" s="64">
        <f t="shared" si="31"/>
        <v>15</v>
      </c>
      <c r="AK24" s="67">
        <f t="shared" si="32"/>
        <v>18</v>
      </c>
      <c r="AL24" s="60">
        <f t="shared" si="33"/>
        <v>33</v>
      </c>
      <c r="AM24" s="64">
        <f>VLOOKUP($B24,[1]Sheet2!$B$4:$O$55,3,FALSE)</f>
        <v>2</v>
      </c>
      <c r="AN24" s="67">
        <f>VLOOKUP($B24,[1]Sheet2!$B$4:$O$55,4,FALSE)</f>
        <v>3</v>
      </c>
      <c r="AO24" s="60">
        <f t="shared" si="34"/>
        <v>5</v>
      </c>
      <c r="AP24" s="64">
        <f>VLOOKUP($B24,[1]Sheet2!$B$4:$O$55,6,FALSE)</f>
        <v>5</v>
      </c>
      <c r="AQ24" s="67">
        <f>VLOOKUP($B24,[1]Sheet2!$B$4:$O$55,7,FALSE)</f>
        <v>7</v>
      </c>
      <c r="AR24" s="60">
        <f t="shared" si="35"/>
        <v>12</v>
      </c>
      <c r="AS24" s="64">
        <f>VLOOKUP($B24,[1]Sheet2!$B$4:$O$55,9,FALSE)</f>
        <v>8</v>
      </c>
      <c r="AT24" s="67">
        <f>VLOOKUP($B24,[1]Sheet2!$B$4:$O$55,10,FALSE)</f>
        <v>8</v>
      </c>
      <c r="AU24" s="60">
        <f t="shared" si="36"/>
        <v>16</v>
      </c>
      <c r="AV24" s="64">
        <f t="shared" si="37"/>
        <v>4974</v>
      </c>
      <c r="AW24" s="67">
        <f t="shared" si="37"/>
        <v>8015</v>
      </c>
      <c r="AX24" s="60">
        <f t="shared" si="0"/>
        <v>12989</v>
      </c>
      <c r="AY24" s="64">
        <v>3189</v>
      </c>
      <c r="AZ24" s="67">
        <v>4727</v>
      </c>
      <c r="BA24" s="60">
        <f t="shared" si="1"/>
        <v>7916</v>
      </c>
      <c r="BB24" s="64">
        <v>1339</v>
      </c>
      <c r="BC24" s="67">
        <v>2190</v>
      </c>
      <c r="BD24" s="60">
        <f t="shared" si="2"/>
        <v>3529</v>
      </c>
      <c r="BE24" s="64">
        <v>446</v>
      </c>
      <c r="BF24" s="67">
        <v>1098</v>
      </c>
      <c r="BG24" s="60">
        <f t="shared" si="3"/>
        <v>1544</v>
      </c>
      <c r="BH24" s="64">
        <f t="shared" si="38"/>
        <v>193</v>
      </c>
      <c r="BI24" s="67">
        <f t="shared" si="38"/>
        <v>256</v>
      </c>
      <c r="BJ24" s="60">
        <f t="shared" si="4"/>
        <v>449</v>
      </c>
      <c r="BK24" s="64">
        <v>88</v>
      </c>
      <c r="BL24" s="67">
        <v>111</v>
      </c>
      <c r="BM24" s="60">
        <f t="shared" si="5"/>
        <v>199</v>
      </c>
      <c r="BN24" s="64">
        <v>70</v>
      </c>
      <c r="BO24" s="67">
        <v>87</v>
      </c>
      <c r="BP24" s="60">
        <f t="shared" si="6"/>
        <v>157</v>
      </c>
      <c r="BQ24" s="64">
        <v>35</v>
      </c>
      <c r="BR24" s="67">
        <v>58</v>
      </c>
      <c r="BS24" s="60">
        <f t="shared" si="7"/>
        <v>93</v>
      </c>
      <c r="BT24" s="64">
        <f t="shared" si="39"/>
        <v>973</v>
      </c>
      <c r="BU24" s="67">
        <f t="shared" si="39"/>
        <v>1613</v>
      </c>
      <c r="BV24" s="60">
        <f t="shared" si="8"/>
        <v>2586</v>
      </c>
      <c r="BW24" s="64">
        <v>523</v>
      </c>
      <c r="BX24" s="67">
        <v>888</v>
      </c>
      <c r="BY24" s="60">
        <f t="shared" si="9"/>
        <v>1411</v>
      </c>
      <c r="BZ24" s="64">
        <v>347</v>
      </c>
      <c r="CA24" s="67">
        <v>531</v>
      </c>
      <c r="CB24" s="60">
        <f t="shared" si="10"/>
        <v>878</v>
      </c>
      <c r="CC24" s="64">
        <v>103</v>
      </c>
      <c r="CD24" s="67">
        <v>194</v>
      </c>
      <c r="CE24" s="60">
        <f t="shared" si="11"/>
        <v>297</v>
      </c>
      <c r="CF24" s="64">
        <f t="shared" si="40"/>
        <v>0</v>
      </c>
      <c r="CG24" s="67">
        <f t="shared" si="40"/>
        <v>0</v>
      </c>
      <c r="CH24" s="60">
        <f t="shared" si="12"/>
        <v>0</v>
      </c>
      <c r="CI24" s="64"/>
      <c r="CJ24" s="67"/>
      <c r="CK24" s="60">
        <f t="shared" si="13"/>
        <v>0</v>
      </c>
      <c r="CL24" s="64"/>
      <c r="CM24" s="67"/>
      <c r="CN24" s="60">
        <f t="shared" si="14"/>
        <v>0</v>
      </c>
      <c r="CO24" s="64"/>
      <c r="CP24" s="67"/>
      <c r="CQ24" s="60">
        <f t="shared" si="15"/>
        <v>0</v>
      </c>
    </row>
    <row r="25" spans="2:96">
      <c r="B25" s="61" t="s">
        <v>73</v>
      </c>
      <c r="C25" s="64">
        <f t="shared" si="20"/>
        <v>108</v>
      </c>
      <c r="D25" s="67">
        <f t="shared" si="20"/>
        <v>142</v>
      </c>
      <c r="E25" s="60">
        <f t="shared" si="21"/>
        <v>250</v>
      </c>
      <c r="F25" s="64">
        <v>40</v>
      </c>
      <c r="G25" s="67">
        <v>28</v>
      </c>
      <c r="H25" s="60">
        <f t="shared" si="22"/>
        <v>68</v>
      </c>
      <c r="I25" s="64">
        <v>21</v>
      </c>
      <c r="J25" s="67">
        <v>37</v>
      </c>
      <c r="K25" s="60">
        <f t="shared" si="23"/>
        <v>58</v>
      </c>
      <c r="L25" s="64">
        <v>47</v>
      </c>
      <c r="M25" s="67">
        <v>77</v>
      </c>
      <c r="N25" s="60">
        <f t="shared" si="24"/>
        <v>124</v>
      </c>
      <c r="O25" s="64" t="s">
        <v>98</v>
      </c>
      <c r="P25" s="67" t="s">
        <v>98</v>
      </c>
      <c r="Q25" s="69"/>
      <c r="R25" s="64" t="s">
        <v>98</v>
      </c>
      <c r="S25" s="67" t="s">
        <v>98</v>
      </c>
      <c r="T25" s="69"/>
      <c r="U25" s="64" t="s">
        <v>98</v>
      </c>
      <c r="V25" s="67" t="s">
        <v>98</v>
      </c>
      <c r="W25" s="69"/>
      <c r="X25" s="64">
        <f t="shared" si="25"/>
        <v>91</v>
      </c>
      <c r="Y25" s="67">
        <f t="shared" si="26"/>
        <v>102</v>
      </c>
      <c r="Z25" s="60">
        <f t="shared" si="27"/>
        <v>193</v>
      </c>
      <c r="AA25" s="64">
        <f>VLOOKUP($B25,[1]Sheet1!$B$4:$O$55,3,FALSE)</f>
        <v>30</v>
      </c>
      <c r="AB25" s="67">
        <f>VLOOKUP($B25,[1]Sheet1!$B$4:$O$55,4,FALSE)</f>
        <v>10</v>
      </c>
      <c r="AC25" s="60">
        <f t="shared" si="28"/>
        <v>40</v>
      </c>
      <c r="AD25" s="64">
        <f>VLOOKUP($B25,[1]Sheet1!$B$4:$O$55,6,FALSE)</f>
        <v>31</v>
      </c>
      <c r="AE25" s="67">
        <f>VLOOKUP($B25,[1]Sheet1!$B$4:$O$55,7,FALSE)</f>
        <v>27</v>
      </c>
      <c r="AF25" s="60">
        <f t="shared" si="29"/>
        <v>58</v>
      </c>
      <c r="AG25" s="64">
        <f>VLOOKUP($B25,[1]Sheet1!$B$4:$O$55,9,FALSE)</f>
        <v>30</v>
      </c>
      <c r="AH25" s="67">
        <f>VLOOKUP($B25,[1]Sheet1!$B$4:$O$55,10,FALSE)</f>
        <v>65</v>
      </c>
      <c r="AI25" s="60">
        <f t="shared" si="30"/>
        <v>95</v>
      </c>
      <c r="AJ25" s="64">
        <f t="shared" si="31"/>
        <v>17</v>
      </c>
      <c r="AK25" s="67">
        <f t="shared" si="32"/>
        <v>22</v>
      </c>
      <c r="AL25" s="60">
        <f t="shared" si="33"/>
        <v>39</v>
      </c>
      <c r="AM25" s="64">
        <f>VLOOKUP($B25,[1]Sheet2!$B$4:$O$55,3,FALSE)</f>
        <v>4</v>
      </c>
      <c r="AN25" s="67">
        <f>VLOOKUP($B25,[1]Sheet2!$B$4:$O$55,4,FALSE)</f>
        <v>3</v>
      </c>
      <c r="AO25" s="60">
        <f t="shared" si="34"/>
        <v>7</v>
      </c>
      <c r="AP25" s="64">
        <f>VLOOKUP($B25,[1]Sheet2!$B$4:$O$55,6,FALSE)</f>
        <v>9</v>
      </c>
      <c r="AQ25" s="67">
        <f>VLOOKUP($B25,[1]Sheet2!$B$4:$O$55,7,FALSE)</f>
        <v>6</v>
      </c>
      <c r="AR25" s="60">
        <f t="shared" si="35"/>
        <v>15</v>
      </c>
      <c r="AS25" s="64">
        <f>VLOOKUP($B25,[1]Sheet2!$B$4:$O$55,9,FALSE)</f>
        <v>4</v>
      </c>
      <c r="AT25" s="67">
        <f>VLOOKUP($B25,[1]Sheet2!$B$4:$O$55,10,FALSE)</f>
        <v>13</v>
      </c>
      <c r="AU25" s="60">
        <f t="shared" si="36"/>
        <v>17</v>
      </c>
      <c r="AV25" s="64">
        <f t="shared" si="37"/>
        <v>7727</v>
      </c>
      <c r="AW25" s="67">
        <f t="shared" si="37"/>
        <v>13494</v>
      </c>
      <c r="AX25" s="60">
        <f t="shared" si="0"/>
        <v>21221</v>
      </c>
      <c r="AY25" s="64">
        <v>4317</v>
      </c>
      <c r="AZ25" s="67">
        <v>6638</v>
      </c>
      <c r="BA25" s="60">
        <f t="shared" si="1"/>
        <v>10955</v>
      </c>
      <c r="BB25" s="64">
        <v>2421</v>
      </c>
      <c r="BC25" s="67">
        <v>4232</v>
      </c>
      <c r="BD25" s="60">
        <f t="shared" si="2"/>
        <v>6653</v>
      </c>
      <c r="BE25" s="64">
        <v>989</v>
      </c>
      <c r="BF25" s="67">
        <v>2624</v>
      </c>
      <c r="BG25" s="60">
        <f t="shared" si="3"/>
        <v>3613</v>
      </c>
      <c r="BH25" s="64">
        <f t="shared" si="38"/>
        <v>409</v>
      </c>
      <c r="BI25" s="67">
        <f t="shared" si="38"/>
        <v>554</v>
      </c>
      <c r="BJ25" s="60">
        <f t="shared" si="4"/>
        <v>963</v>
      </c>
      <c r="BK25" s="64">
        <v>193</v>
      </c>
      <c r="BL25" s="67">
        <v>169</v>
      </c>
      <c r="BM25" s="60">
        <f t="shared" si="5"/>
        <v>362</v>
      </c>
      <c r="BN25" s="64">
        <v>134</v>
      </c>
      <c r="BO25" s="67">
        <v>177</v>
      </c>
      <c r="BP25" s="60">
        <f t="shared" si="6"/>
        <v>311</v>
      </c>
      <c r="BQ25" s="64">
        <v>82</v>
      </c>
      <c r="BR25" s="67">
        <v>208</v>
      </c>
      <c r="BS25" s="60">
        <f t="shared" si="7"/>
        <v>290</v>
      </c>
      <c r="BT25" s="64">
        <f t="shared" si="39"/>
        <v>1087</v>
      </c>
      <c r="BU25" s="67">
        <f t="shared" si="39"/>
        <v>1914</v>
      </c>
      <c r="BV25" s="60">
        <f t="shared" si="8"/>
        <v>3001</v>
      </c>
      <c r="BW25" s="64">
        <v>669</v>
      </c>
      <c r="BX25" s="67">
        <v>1123</v>
      </c>
      <c r="BY25" s="60">
        <f t="shared" si="9"/>
        <v>1792</v>
      </c>
      <c r="BZ25" s="64">
        <v>315</v>
      </c>
      <c r="CA25" s="67">
        <v>571</v>
      </c>
      <c r="CB25" s="60">
        <f t="shared" si="10"/>
        <v>886</v>
      </c>
      <c r="CC25" s="64">
        <v>103</v>
      </c>
      <c r="CD25" s="67">
        <v>220</v>
      </c>
      <c r="CE25" s="60">
        <f t="shared" si="11"/>
        <v>323</v>
      </c>
      <c r="CF25" s="64">
        <f t="shared" si="40"/>
        <v>0</v>
      </c>
      <c r="CG25" s="67">
        <f t="shared" si="40"/>
        <v>0</v>
      </c>
      <c r="CH25" s="60">
        <f t="shared" si="12"/>
        <v>0</v>
      </c>
      <c r="CI25" s="64"/>
      <c r="CJ25" s="67"/>
      <c r="CK25" s="60">
        <f t="shared" si="13"/>
        <v>0</v>
      </c>
      <c r="CL25" s="64"/>
      <c r="CM25" s="67"/>
      <c r="CN25" s="60">
        <f t="shared" si="14"/>
        <v>0</v>
      </c>
      <c r="CO25" s="64"/>
      <c r="CP25" s="67"/>
      <c r="CQ25" s="60">
        <f t="shared" si="15"/>
        <v>0</v>
      </c>
    </row>
    <row r="26" spans="2:96">
      <c r="B26" s="61" t="s">
        <v>72</v>
      </c>
      <c r="C26" s="64">
        <f t="shared" si="20"/>
        <v>27</v>
      </c>
      <c r="D26" s="67">
        <f t="shared" si="20"/>
        <v>35</v>
      </c>
      <c r="E26" s="60">
        <f t="shared" si="21"/>
        <v>62</v>
      </c>
      <c r="F26" s="64">
        <v>12</v>
      </c>
      <c r="G26" s="67">
        <v>2</v>
      </c>
      <c r="H26" s="60">
        <f t="shared" si="22"/>
        <v>14</v>
      </c>
      <c r="I26" s="64">
        <v>6</v>
      </c>
      <c r="J26" s="67">
        <v>10</v>
      </c>
      <c r="K26" s="60">
        <f t="shared" si="23"/>
        <v>16</v>
      </c>
      <c r="L26" s="64">
        <v>9</v>
      </c>
      <c r="M26" s="67">
        <v>23</v>
      </c>
      <c r="N26" s="60">
        <f t="shared" si="24"/>
        <v>32</v>
      </c>
      <c r="O26" s="64"/>
      <c r="P26" s="67"/>
      <c r="Q26" s="69"/>
      <c r="R26" s="64"/>
      <c r="S26" s="67"/>
      <c r="T26" s="69"/>
      <c r="U26" s="64" t="s">
        <v>389</v>
      </c>
      <c r="V26" s="67" t="s">
        <v>389</v>
      </c>
      <c r="W26" s="69"/>
      <c r="X26" s="64">
        <f t="shared" si="25"/>
        <v>130</v>
      </c>
      <c r="Y26" s="67">
        <f t="shared" si="26"/>
        <v>198</v>
      </c>
      <c r="Z26" s="60">
        <f t="shared" si="27"/>
        <v>328</v>
      </c>
      <c r="AA26" s="64">
        <f>VLOOKUP($B26,[1]Sheet1!$B$4:$O$55,3,FALSE)</f>
        <v>39</v>
      </c>
      <c r="AB26" s="67">
        <f>VLOOKUP($B26,[1]Sheet1!$B$4:$O$55,4,FALSE)</f>
        <v>28</v>
      </c>
      <c r="AC26" s="60">
        <f t="shared" si="28"/>
        <v>67</v>
      </c>
      <c r="AD26" s="64">
        <f>VLOOKUP($B26,[1]Sheet1!$B$4:$O$55,6,FALSE)</f>
        <v>32</v>
      </c>
      <c r="AE26" s="67">
        <f>VLOOKUP($B26,[1]Sheet1!$B$4:$O$55,7,FALSE)</f>
        <v>51</v>
      </c>
      <c r="AF26" s="60">
        <f t="shared" si="29"/>
        <v>83</v>
      </c>
      <c r="AG26" s="64">
        <f>VLOOKUP($B26,[1]Sheet1!$B$4:$O$55,9,FALSE)</f>
        <v>59</v>
      </c>
      <c r="AH26" s="67">
        <f>VLOOKUP($B26,[1]Sheet1!$B$4:$O$55,10,FALSE)</f>
        <v>119</v>
      </c>
      <c r="AI26" s="60">
        <f t="shared" si="30"/>
        <v>178</v>
      </c>
      <c r="AJ26" s="64">
        <f t="shared" si="31"/>
        <v>42</v>
      </c>
      <c r="AK26" s="67">
        <f t="shared" si="32"/>
        <v>67</v>
      </c>
      <c r="AL26" s="60">
        <f t="shared" si="33"/>
        <v>109</v>
      </c>
      <c r="AM26" s="64">
        <f>VLOOKUP($B26,[1]Sheet2!$B$4:$O$55,3,FALSE)</f>
        <v>13</v>
      </c>
      <c r="AN26" s="67">
        <f>VLOOKUP($B26,[1]Sheet2!$B$4:$O$55,4,FALSE)</f>
        <v>14</v>
      </c>
      <c r="AO26" s="60">
        <f t="shared" si="34"/>
        <v>27</v>
      </c>
      <c r="AP26" s="64">
        <f>VLOOKUP($B26,[1]Sheet2!$B$4:$O$55,6,FALSE)</f>
        <v>15</v>
      </c>
      <c r="AQ26" s="67">
        <f>VLOOKUP($B26,[1]Sheet2!$B$4:$O$55,7,FALSE)</f>
        <v>19</v>
      </c>
      <c r="AR26" s="60">
        <f t="shared" si="35"/>
        <v>34</v>
      </c>
      <c r="AS26" s="64">
        <f>VLOOKUP($B26,[1]Sheet2!$B$4:$O$55,9,FALSE)</f>
        <v>14</v>
      </c>
      <c r="AT26" s="67">
        <f>VLOOKUP($B26,[1]Sheet2!$B$4:$O$55,10,FALSE)</f>
        <v>34</v>
      </c>
      <c r="AU26" s="60">
        <f t="shared" si="36"/>
        <v>48</v>
      </c>
      <c r="AV26" s="64">
        <f t="shared" si="37"/>
        <v>8169</v>
      </c>
      <c r="AW26" s="67">
        <f t="shared" si="37"/>
        <v>13721</v>
      </c>
      <c r="AX26" s="60">
        <f t="shared" si="0"/>
        <v>21890</v>
      </c>
      <c r="AY26" s="64">
        <v>5097</v>
      </c>
      <c r="AZ26" s="67">
        <v>7660</v>
      </c>
      <c r="BA26" s="60">
        <f t="shared" si="1"/>
        <v>12757</v>
      </c>
      <c r="BB26" s="64">
        <v>2239</v>
      </c>
      <c r="BC26" s="67">
        <v>3839</v>
      </c>
      <c r="BD26" s="60">
        <f t="shared" si="2"/>
        <v>6078</v>
      </c>
      <c r="BE26" s="64">
        <v>833</v>
      </c>
      <c r="BF26" s="67">
        <v>2222</v>
      </c>
      <c r="BG26" s="60">
        <f t="shared" si="3"/>
        <v>3055</v>
      </c>
      <c r="BH26" s="64">
        <f t="shared" si="38"/>
        <v>532</v>
      </c>
      <c r="BI26" s="67">
        <f t="shared" si="38"/>
        <v>683</v>
      </c>
      <c r="BJ26" s="60">
        <f t="shared" si="4"/>
        <v>1215</v>
      </c>
      <c r="BK26" s="64">
        <v>238</v>
      </c>
      <c r="BL26" s="67">
        <v>210</v>
      </c>
      <c r="BM26" s="60">
        <f t="shared" si="5"/>
        <v>448</v>
      </c>
      <c r="BN26" s="64">
        <v>222</v>
      </c>
      <c r="BO26" s="67">
        <v>285</v>
      </c>
      <c r="BP26" s="60">
        <f t="shared" si="6"/>
        <v>507</v>
      </c>
      <c r="BQ26" s="64">
        <v>72</v>
      </c>
      <c r="BR26" s="67">
        <v>188</v>
      </c>
      <c r="BS26" s="60">
        <f t="shared" si="7"/>
        <v>260</v>
      </c>
      <c r="BT26" s="64">
        <f t="shared" si="39"/>
        <v>141</v>
      </c>
      <c r="BU26" s="67">
        <f t="shared" si="39"/>
        <v>236</v>
      </c>
      <c r="BV26" s="60">
        <f t="shared" si="8"/>
        <v>377</v>
      </c>
      <c r="BW26" s="64">
        <v>92</v>
      </c>
      <c r="BX26" s="67">
        <v>131</v>
      </c>
      <c r="BY26" s="60">
        <f t="shared" si="9"/>
        <v>223</v>
      </c>
      <c r="BZ26" s="64">
        <v>32</v>
      </c>
      <c r="CA26" s="67">
        <v>61</v>
      </c>
      <c r="CB26" s="60">
        <f t="shared" si="10"/>
        <v>93</v>
      </c>
      <c r="CC26" s="64">
        <v>17</v>
      </c>
      <c r="CD26" s="67">
        <v>44</v>
      </c>
      <c r="CE26" s="60">
        <f t="shared" si="11"/>
        <v>61</v>
      </c>
      <c r="CF26" s="64">
        <f t="shared" si="40"/>
        <v>2</v>
      </c>
      <c r="CG26" s="67">
        <f t="shared" si="40"/>
        <v>6</v>
      </c>
      <c r="CH26" s="60">
        <f t="shared" si="12"/>
        <v>8</v>
      </c>
      <c r="CI26" s="64">
        <v>2</v>
      </c>
      <c r="CJ26" s="67">
        <v>0</v>
      </c>
      <c r="CK26" s="60">
        <f t="shared" si="13"/>
        <v>2</v>
      </c>
      <c r="CL26" s="64">
        <v>0</v>
      </c>
      <c r="CM26" s="67">
        <v>3</v>
      </c>
      <c r="CN26" s="60">
        <f t="shared" si="14"/>
        <v>3</v>
      </c>
      <c r="CO26" s="64">
        <v>0</v>
      </c>
      <c r="CP26" s="67">
        <v>3</v>
      </c>
      <c r="CQ26" s="60">
        <f t="shared" si="15"/>
        <v>3</v>
      </c>
    </row>
    <row r="27" spans="2:96">
      <c r="B27" s="61" t="s">
        <v>71</v>
      </c>
      <c r="C27" s="64">
        <f t="shared" si="20"/>
        <v>23</v>
      </c>
      <c r="D27" s="67">
        <f t="shared" si="20"/>
        <v>31</v>
      </c>
      <c r="E27" s="60">
        <f t="shared" si="21"/>
        <v>54</v>
      </c>
      <c r="F27" s="64">
        <v>8</v>
      </c>
      <c r="G27" s="67">
        <v>6</v>
      </c>
      <c r="H27" s="60">
        <f t="shared" si="22"/>
        <v>14</v>
      </c>
      <c r="I27" s="64">
        <v>6</v>
      </c>
      <c r="J27" s="67">
        <v>9</v>
      </c>
      <c r="K27" s="60">
        <f t="shared" si="23"/>
        <v>15</v>
      </c>
      <c r="L27" s="64">
        <v>9</v>
      </c>
      <c r="M27" s="67">
        <v>16</v>
      </c>
      <c r="N27" s="60">
        <f t="shared" si="24"/>
        <v>25</v>
      </c>
      <c r="O27" s="64"/>
      <c r="P27" s="67"/>
      <c r="Q27" s="69"/>
      <c r="R27" s="64"/>
      <c r="S27" s="67"/>
      <c r="T27" s="69"/>
      <c r="U27" s="64"/>
      <c r="V27" s="67"/>
      <c r="W27" s="69"/>
      <c r="X27" s="64">
        <f t="shared" si="25"/>
        <v>54</v>
      </c>
      <c r="Y27" s="67">
        <f t="shared" si="26"/>
        <v>93</v>
      </c>
      <c r="Z27" s="60">
        <f t="shared" si="27"/>
        <v>147</v>
      </c>
      <c r="AA27" s="64">
        <f>VLOOKUP($B27,[1]Sheet1!$B$4:$O$55,3,FALSE)</f>
        <v>9</v>
      </c>
      <c r="AB27" s="67">
        <f>VLOOKUP($B27,[1]Sheet1!$B$4:$O$55,4,FALSE)</f>
        <v>11</v>
      </c>
      <c r="AC27" s="60">
        <f t="shared" si="28"/>
        <v>20</v>
      </c>
      <c r="AD27" s="64">
        <f>VLOOKUP($B27,[1]Sheet1!$B$4:$O$55,6,FALSE)</f>
        <v>23</v>
      </c>
      <c r="AE27" s="67">
        <f>VLOOKUP($B27,[1]Sheet1!$B$4:$O$55,7,FALSE)</f>
        <v>21</v>
      </c>
      <c r="AF27" s="60">
        <f t="shared" si="29"/>
        <v>44</v>
      </c>
      <c r="AG27" s="64">
        <f>VLOOKUP($B27,[1]Sheet1!$B$4:$O$55,9,FALSE)</f>
        <v>22</v>
      </c>
      <c r="AH27" s="67">
        <f>VLOOKUP($B27,[1]Sheet1!$B$4:$O$55,10,FALSE)</f>
        <v>61</v>
      </c>
      <c r="AI27" s="60">
        <f t="shared" si="30"/>
        <v>83</v>
      </c>
      <c r="AJ27" s="64">
        <f t="shared" si="31"/>
        <v>3</v>
      </c>
      <c r="AK27" s="67">
        <f t="shared" si="32"/>
        <v>6</v>
      </c>
      <c r="AL27" s="60">
        <f t="shared" si="33"/>
        <v>9</v>
      </c>
      <c r="AM27" s="64">
        <f>VLOOKUP($B27,[1]Sheet2!$B$4:$O$55,3,FALSE)</f>
        <v>0</v>
      </c>
      <c r="AN27" s="67">
        <f>VLOOKUP($B27,[1]Sheet2!$B$4:$O$55,4,FALSE)</f>
        <v>0</v>
      </c>
      <c r="AO27" s="60">
        <f t="shared" si="34"/>
        <v>0</v>
      </c>
      <c r="AP27" s="64">
        <f>VLOOKUP($B27,[1]Sheet2!$B$4:$O$55,6,FALSE)</f>
        <v>2</v>
      </c>
      <c r="AQ27" s="67">
        <f>VLOOKUP($B27,[1]Sheet2!$B$4:$O$55,7,FALSE)</f>
        <v>1</v>
      </c>
      <c r="AR27" s="60">
        <f t="shared" si="35"/>
        <v>3</v>
      </c>
      <c r="AS27" s="64">
        <f>VLOOKUP($B27,[1]Sheet2!$B$4:$O$55,9,FALSE)</f>
        <v>1</v>
      </c>
      <c r="AT27" s="67">
        <f>VLOOKUP($B27,[1]Sheet2!$B$4:$O$55,10,FALSE)</f>
        <v>5</v>
      </c>
      <c r="AU27" s="60">
        <f t="shared" si="36"/>
        <v>6</v>
      </c>
      <c r="AV27" s="64">
        <f t="shared" si="37"/>
        <v>6701</v>
      </c>
      <c r="AW27" s="67">
        <f t="shared" si="37"/>
        <v>11269</v>
      </c>
      <c r="AX27" s="60">
        <f t="shared" si="0"/>
        <v>17970</v>
      </c>
      <c r="AY27" s="64">
        <v>4261</v>
      </c>
      <c r="AZ27" s="67">
        <v>6548</v>
      </c>
      <c r="BA27" s="60">
        <f t="shared" si="1"/>
        <v>10809</v>
      </c>
      <c r="BB27" s="64">
        <v>1904</v>
      </c>
      <c r="BC27" s="67">
        <v>3248</v>
      </c>
      <c r="BD27" s="60">
        <f t="shared" si="2"/>
        <v>5152</v>
      </c>
      <c r="BE27" s="64">
        <v>536</v>
      </c>
      <c r="BF27" s="67">
        <v>1473</v>
      </c>
      <c r="BG27" s="60">
        <f t="shared" si="3"/>
        <v>2009</v>
      </c>
      <c r="BH27" s="64">
        <f t="shared" si="38"/>
        <v>328</v>
      </c>
      <c r="BI27" s="67">
        <f t="shared" si="38"/>
        <v>147</v>
      </c>
      <c r="BJ27" s="60">
        <f t="shared" si="4"/>
        <v>475</v>
      </c>
      <c r="BK27" s="64">
        <v>137</v>
      </c>
      <c r="BL27" s="67">
        <v>14</v>
      </c>
      <c r="BM27" s="60">
        <f t="shared" si="5"/>
        <v>151</v>
      </c>
      <c r="BN27" s="64">
        <v>122</v>
      </c>
      <c r="BO27" s="67">
        <v>122</v>
      </c>
      <c r="BP27" s="60">
        <f t="shared" si="6"/>
        <v>244</v>
      </c>
      <c r="BQ27" s="64">
        <v>69</v>
      </c>
      <c r="BR27" s="67">
        <v>11</v>
      </c>
      <c r="BS27" s="60">
        <f t="shared" si="7"/>
        <v>80</v>
      </c>
      <c r="BT27" s="64">
        <f t="shared" si="39"/>
        <v>22</v>
      </c>
      <c r="BU27" s="67">
        <f t="shared" si="39"/>
        <v>54</v>
      </c>
      <c r="BV27" s="60">
        <f t="shared" si="8"/>
        <v>76</v>
      </c>
      <c r="BW27" s="64">
        <v>11</v>
      </c>
      <c r="BX27" s="67">
        <v>31</v>
      </c>
      <c r="BY27" s="60">
        <f t="shared" si="9"/>
        <v>42</v>
      </c>
      <c r="BZ27" s="64">
        <v>7</v>
      </c>
      <c r="CA27" s="67">
        <v>8</v>
      </c>
      <c r="CB27" s="60">
        <f t="shared" si="10"/>
        <v>15</v>
      </c>
      <c r="CC27" s="64">
        <v>4</v>
      </c>
      <c r="CD27" s="67">
        <v>15</v>
      </c>
      <c r="CE27" s="60">
        <f t="shared" si="11"/>
        <v>19</v>
      </c>
      <c r="CF27" s="64">
        <f t="shared" si="40"/>
        <v>0</v>
      </c>
      <c r="CG27" s="67">
        <f t="shared" si="40"/>
        <v>0</v>
      </c>
      <c r="CH27" s="60">
        <f t="shared" si="12"/>
        <v>0</v>
      </c>
      <c r="CI27" s="64">
        <v>0</v>
      </c>
      <c r="CJ27" s="67">
        <v>0</v>
      </c>
      <c r="CK27" s="60">
        <f t="shared" si="13"/>
        <v>0</v>
      </c>
      <c r="CL27" s="64">
        <v>0</v>
      </c>
      <c r="CM27" s="67">
        <v>0</v>
      </c>
      <c r="CN27" s="60">
        <f t="shared" si="14"/>
        <v>0</v>
      </c>
      <c r="CO27" s="64">
        <v>0</v>
      </c>
      <c r="CP27" s="67">
        <v>0</v>
      </c>
      <c r="CQ27" s="60">
        <f t="shared" si="15"/>
        <v>0</v>
      </c>
    </row>
    <row r="28" spans="2:96">
      <c r="B28" s="61" t="s">
        <v>70</v>
      </c>
      <c r="C28" s="64">
        <f t="shared" si="20"/>
        <v>33</v>
      </c>
      <c r="D28" s="67">
        <f t="shared" si="20"/>
        <v>27</v>
      </c>
      <c r="E28" s="60">
        <f t="shared" si="21"/>
        <v>60</v>
      </c>
      <c r="F28" s="64">
        <v>14</v>
      </c>
      <c r="G28" s="67">
        <v>7</v>
      </c>
      <c r="H28" s="60">
        <f t="shared" si="22"/>
        <v>21</v>
      </c>
      <c r="I28" s="64">
        <v>10</v>
      </c>
      <c r="J28" s="67">
        <v>4</v>
      </c>
      <c r="K28" s="60">
        <f t="shared" si="23"/>
        <v>14</v>
      </c>
      <c r="L28" s="64">
        <v>9</v>
      </c>
      <c r="M28" s="67">
        <v>16</v>
      </c>
      <c r="N28" s="60">
        <f t="shared" si="24"/>
        <v>25</v>
      </c>
      <c r="O28" s="64" t="s">
        <v>96</v>
      </c>
      <c r="P28" s="67" t="s">
        <v>96</v>
      </c>
      <c r="Q28" s="69"/>
      <c r="R28" s="64" t="s">
        <v>96</v>
      </c>
      <c r="S28" s="67" t="s">
        <v>96</v>
      </c>
      <c r="T28" s="69"/>
      <c r="U28" s="64" t="s">
        <v>98</v>
      </c>
      <c r="V28" s="67" t="s">
        <v>98</v>
      </c>
      <c r="W28" s="69"/>
      <c r="X28" s="64">
        <f t="shared" si="25"/>
        <v>111</v>
      </c>
      <c r="Y28" s="67">
        <f t="shared" si="26"/>
        <v>114</v>
      </c>
      <c r="Z28" s="60">
        <f t="shared" si="27"/>
        <v>225</v>
      </c>
      <c r="AA28" s="64">
        <f>VLOOKUP($B28,[1]Sheet1!$B$4:$O$55,3,FALSE)</f>
        <v>28</v>
      </c>
      <c r="AB28" s="67">
        <f>VLOOKUP($B28,[1]Sheet1!$B$4:$O$55,4,FALSE)</f>
        <v>16</v>
      </c>
      <c r="AC28" s="60">
        <f t="shared" si="28"/>
        <v>44</v>
      </c>
      <c r="AD28" s="64">
        <f>VLOOKUP($B28,[1]Sheet1!$B$4:$O$55,6,FALSE)</f>
        <v>41</v>
      </c>
      <c r="AE28" s="67">
        <f>VLOOKUP($B28,[1]Sheet1!$B$4:$O$55,7,FALSE)</f>
        <v>36</v>
      </c>
      <c r="AF28" s="60">
        <f t="shared" si="29"/>
        <v>77</v>
      </c>
      <c r="AG28" s="64">
        <f>VLOOKUP($B28,[1]Sheet1!$B$4:$O$55,9,FALSE)</f>
        <v>42</v>
      </c>
      <c r="AH28" s="67">
        <f>VLOOKUP($B28,[1]Sheet1!$B$4:$O$55,10,FALSE)</f>
        <v>62</v>
      </c>
      <c r="AI28" s="60">
        <f t="shared" si="30"/>
        <v>104</v>
      </c>
      <c r="AJ28" s="64">
        <f t="shared" si="31"/>
        <v>14</v>
      </c>
      <c r="AK28" s="67">
        <f t="shared" si="32"/>
        <v>27</v>
      </c>
      <c r="AL28" s="60">
        <f t="shared" si="33"/>
        <v>41</v>
      </c>
      <c r="AM28" s="64">
        <f>VLOOKUP($B28,[1]Sheet2!$B$4:$O$55,3,FALSE)</f>
        <v>3</v>
      </c>
      <c r="AN28" s="67">
        <f>VLOOKUP($B28,[1]Sheet2!$B$4:$O$55,4,FALSE)</f>
        <v>4</v>
      </c>
      <c r="AO28" s="60">
        <f t="shared" si="34"/>
        <v>7</v>
      </c>
      <c r="AP28" s="64">
        <f>VLOOKUP($B28,[1]Sheet2!$B$4:$O$55,6,FALSE)</f>
        <v>7</v>
      </c>
      <c r="AQ28" s="67">
        <f>VLOOKUP($B28,[1]Sheet2!$B$4:$O$55,7,FALSE)</f>
        <v>9</v>
      </c>
      <c r="AR28" s="60">
        <f t="shared" si="35"/>
        <v>16</v>
      </c>
      <c r="AS28" s="64">
        <f>VLOOKUP($B28,[1]Sheet2!$B$4:$O$55,9,FALSE)</f>
        <v>4</v>
      </c>
      <c r="AT28" s="67">
        <f>VLOOKUP($B28,[1]Sheet2!$B$4:$O$55,10,FALSE)</f>
        <v>14</v>
      </c>
      <c r="AU28" s="60">
        <f t="shared" si="36"/>
        <v>18</v>
      </c>
      <c r="AV28" s="64">
        <f t="shared" si="37"/>
        <v>5746</v>
      </c>
      <c r="AW28" s="67">
        <f t="shared" si="37"/>
        <v>9726</v>
      </c>
      <c r="AX28" s="60">
        <f t="shared" si="0"/>
        <v>15472</v>
      </c>
      <c r="AY28" s="64">
        <v>3505</v>
      </c>
      <c r="AZ28" s="67">
        <v>5633</v>
      </c>
      <c r="BA28" s="60">
        <f t="shared" si="1"/>
        <v>9138</v>
      </c>
      <c r="BB28" s="64">
        <v>1772</v>
      </c>
      <c r="BC28" s="67">
        <v>2939</v>
      </c>
      <c r="BD28" s="60">
        <f t="shared" si="2"/>
        <v>4711</v>
      </c>
      <c r="BE28" s="64">
        <v>469</v>
      </c>
      <c r="BF28" s="67">
        <v>1154</v>
      </c>
      <c r="BG28" s="60">
        <f t="shared" si="3"/>
        <v>1623</v>
      </c>
      <c r="BH28" s="64">
        <f t="shared" si="38"/>
        <v>344</v>
      </c>
      <c r="BI28" s="67">
        <f t="shared" si="38"/>
        <v>356</v>
      </c>
      <c r="BJ28" s="60">
        <f t="shared" si="4"/>
        <v>700</v>
      </c>
      <c r="BK28" s="64">
        <v>170</v>
      </c>
      <c r="BL28" s="67">
        <v>134</v>
      </c>
      <c r="BM28" s="60">
        <f t="shared" si="5"/>
        <v>304</v>
      </c>
      <c r="BN28" s="64">
        <v>123</v>
      </c>
      <c r="BO28" s="67">
        <v>119</v>
      </c>
      <c r="BP28" s="60">
        <f t="shared" si="6"/>
        <v>242</v>
      </c>
      <c r="BQ28" s="64">
        <v>51</v>
      </c>
      <c r="BR28" s="67">
        <v>103</v>
      </c>
      <c r="BS28" s="60">
        <f t="shared" si="7"/>
        <v>154</v>
      </c>
      <c r="BT28" s="64">
        <f t="shared" si="39"/>
        <v>57</v>
      </c>
      <c r="BU28" s="67">
        <f t="shared" si="39"/>
        <v>154</v>
      </c>
      <c r="BV28" s="60">
        <f t="shared" si="8"/>
        <v>211</v>
      </c>
      <c r="BW28" s="64">
        <v>33</v>
      </c>
      <c r="BX28" s="67">
        <v>92</v>
      </c>
      <c r="BY28" s="60">
        <f t="shared" si="9"/>
        <v>125</v>
      </c>
      <c r="BZ28" s="64">
        <v>19</v>
      </c>
      <c r="CA28" s="67">
        <v>32</v>
      </c>
      <c r="CB28" s="60">
        <f t="shared" si="10"/>
        <v>51</v>
      </c>
      <c r="CC28" s="64">
        <v>5</v>
      </c>
      <c r="CD28" s="67">
        <v>30</v>
      </c>
      <c r="CE28" s="60">
        <f t="shared" si="11"/>
        <v>35</v>
      </c>
      <c r="CF28" s="64">
        <f t="shared" si="40"/>
        <v>3</v>
      </c>
      <c r="CG28" s="67">
        <f t="shared" si="40"/>
        <v>9</v>
      </c>
      <c r="CH28" s="60">
        <f t="shared" si="12"/>
        <v>12</v>
      </c>
      <c r="CI28" s="64">
        <v>0</v>
      </c>
      <c r="CJ28" s="67">
        <v>6</v>
      </c>
      <c r="CK28" s="60">
        <f t="shared" si="13"/>
        <v>6</v>
      </c>
      <c r="CL28" s="64">
        <v>3</v>
      </c>
      <c r="CM28" s="67">
        <v>2</v>
      </c>
      <c r="CN28" s="60">
        <f t="shared" si="14"/>
        <v>5</v>
      </c>
      <c r="CO28" s="64">
        <v>0</v>
      </c>
      <c r="CP28" s="67">
        <v>1</v>
      </c>
      <c r="CQ28" s="60">
        <f t="shared" si="15"/>
        <v>1</v>
      </c>
    </row>
    <row r="29" spans="2:96">
      <c r="B29" s="61" t="s">
        <v>69</v>
      </c>
      <c r="C29" s="64">
        <f t="shared" si="20"/>
        <v>0</v>
      </c>
      <c r="D29" s="67">
        <f t="shared" si="20"/>
        <v>0</v>
      </c>
      <c r="E29" s="60">
        <f t="shared" si="21"/>
        <v>0</v>
      </c>
      <c r="F29" s="64"/>
      <c r="G29" s="67"/>
      <c r="H29" s="60">
        <f t="shared" si="22"/>
        <v>0</v>
      </c>
      <c r="I29" s="64"/>
      <c r="J29" s="67"/>
      <c r="K29" s="60">
        <f t="shared" si="23"/>
        <v>0</v>
      </c>
      <c r="L29" s="64"/>
      <c r="M29" s="67"/>
      <c r="N29" s="60">
        <f t="shared" si="24"/>
        <v>0</v>
      </c>
      <c r="O29" s="64"/>
      <c r="P29" s="67"/>
      <c r="Q29" s="69"/>
      <c r="R29" s="64"/>
      <c r="S29" s="67"/>
      <c r="T29" s="69"/>
      <c r="U29" s="64"/>
      <c r="V29" s="67"/>
      <c r="W29" s="69"/>
      <c r="X29" s="64">
        <f t="shared" si="25"/>
        <v>72</v>
      </c>
      <c r="Y29" s="67">
        <f t="shared" si="26"/>
        <v>124</v>
      </c>
      <c r="Z29" s="60">
        <f t="shared" si="27"/>
        <v>196</v>
      </c>
      <c r="AA29" s="64">
        <f>VLOOKUP($B29,[1]Sheet1!$B$4:$O$55,3,FALSE)</f>
        <v>29</v>
      </c>
      <c r="AB29" s="67">
        <f>VLOOKUP($B29,[1]Sheet1!$B$4:$O$55,4,FALSE)</f>
        <v>20</v>
      </c>
      <c r="AC29" s="60">
        <f t="shared" si="28"/>
        <v>49</v>
      </c>
      <c r="AD29" s="64">
        <f>VLOOKUP($B29,[1]Sheet1!$B$4:$O$55,6,FALSE)</f>
        <v>20</v>
      </c>
      <c r="AE29" s="67">
        <f>VLOOKUP($B29,[1]Sheet1!$B$4:$O$55,7,FALSE)</f>
        <v>45</v>
      </c>
      <c r="AF29" s="60">
        <f t="shared" si="29"/>
        <v>65</v>
      </c>
      <c r="AG29" s="64">
        <f>VLOOKUP($B29,[1]Sheet1!$B$4:$O$55,9,FALSE)</f>
        <v>23</v>
      </c>
      <c r="AH29" s="67">
        <f>VLOOKUP($B29,[1]Sheet1!$B$4:$O$55,10,FALSE)</f>
        <v>59</v>
      </c>
      <c r="AI29" s="60">
        <f t="shared" si="30"/>
        <v>82</v>
      </c>
      <c r="AJ29" s="64">
        <f t="shared" si="31"/>
        <v>23</v>
      </c>
      <c r="AK29" s="67">
        <f t="shared" si="32"/>
        <v>12</v>
      </c>
      <c r="AL29" s="60">
        <f t="shared" si="33"/>
        <v>35</v>
      </c>
      <c r="AM29" s="64">
        <f>VLOOKUP($B29,[1]Sheet2!$B$4:$O$55,3,FALSE)</f>
        <v>1</v>
      </c>
      <c r="AN29" s="67">
        <f>VLOOKUP($B29,[1]Sheet2!$B$4:$O$55,4,FALSE)</f>
        <v>1</v>
      </c>
      <c r="AO29" s="60">
        <f t="shared" si="34"/>
        <v>2</v>
      </c>
      <c r="AP29" s="64">
        <f>VLOOKUP($B29,[1]Sheet2!$B$4:$O$55,6,FALSE)</f>
        <v>18</v>
      </c>
      <c r="AQ29" s="67">
        <f>VLOOKUP($B29,[1]Sheet2!$B$4:$O$55,7,FALSE)</f>
        <v>6</v>
      </c>
      <c r="AR29" s="60">
        <f t="shared" si="35"/>
        <v>24</v>
      </c>
      <c r="AS29" s="64">
        <f>VLOOKUP($B29,[1]Sheet2!$B$4:$O$55,9,FALSE)</f>
        <v>4</v>
      </c>
      <c r="AT29" s="67">
        <f>VLOOKUP($B29,[1]Sheet2!$B$4:$O$55,10,FALSE)</f>
        <v>5</v>
      </c>
      <c r="AU29" s="60">
        <f t="shared" si="36"/>
        <v>9</v>
      </c>
      <c r="AV29" s="64">
        <f t="shared" si="37"/>
        <v>9153</v>
      </c>
      <c r="AW29" s="67">
        <f t="shared" si="37"/>
        <v>9148</v>
      </c>
      <c r="AX29" s="60">
        <f t="shared" si="0"/>
        <v>18301</v>
      </c>
      <c r="AY29" s="64">
        <v>5907</v>
      </c>
      <c r="AZ29" s="67">
        <v>5905</v>
      </c>
      <c r="BA29" s="60">
        <f t="shared" si="1"/>
        <v>11812</v>
      </c>
      <c r="BB29" s="64">
        <v>2335</v>
      </c>
      <c r="BC29" s="67">
        <v>2336</v>
      </c>
      <c r="BD29" s="60">
        <f t="shared" si="2"/>
        <v>4671</v>
      </c>
      <c r="BE29" s="64">
        <v>911</v>
      </c>
      <c r="BF29" s="67">
        <v>907</v>
      </c>
      <c r="BG29" s="60">
        <f t="shared" si="3"/>
        <v>1818</v>
      </c>
      <c r="BH29" s="64">
        <f t="shared" si="38"/>
        <v>433</v>
      </c>
      <c r="BI29" s="67">
        <f t="shared" si="38"/>
        <v>438</v>
      </c>
      <c r="BJ29" s="60">
        <f t="shared" si="4"/>
        <v>871</v>
      </c>
      <c r="BK29" s="64">
        <v>151</v>
      </c>
      <c r="BL29" s="67">
        <v>154</v>
      </c>
      <c r="BM29" s="60">
        <f t="shared" si="5"/>
        <v>305</v>
      </c>
      <c r="BN29" s="64">
        <v>150</v>
      </c>
      <c r="BO29" s="67">
        <v>151</v>
      </c>
      <c r="BP29" s="60">
        <f t="shared" si="6"/>
        <v>301</v>
      </c>
      <c r="BQ29" s="64">
        <v>132</v>
      </c>
      <c r="BR29" s="67">
        <v>133</v>
      </c>
      <c r="BS29" s="60">
        <f t="shared" si="7"/>
        <v>265</v>
      </c>
      <c r="BT29" s="64">
        <f t="shared" si="39"/>
        <v>2186</v>
      </c>
      <c r="BU29" s="67">
        <f t="shared" si="39"/>
        <v>3919</v>
      </c>
      <c r="BV29" s="60">
        <f t="shared" si="8"/>
        <v>6105</v>
      </c>
      <c r="BW29" s="64">
        <v>1333</v>
      </c>
      <c r="BX29" s="67">
        <v>2437</v>
      </c>
      <c r="BY29" s="60">
        <f t="shared" si="9"/>
        <v>3770</v>
      </c>
      <c r="BZ29" s="64">
        <v>690</v>
      </c>
      <c r="CA29" s="67">
        <v>1116</v>
      </c>
      <c r="CB29" s="60">
        <f t="shared" si="10"/>
        <v>1806</v>
      </c>
      <c r="CC29" s="64">
        <v>163</v>
      </c>
      <c r="CD29" s="67">
        <v>366</v>
      </c>
      <c r="CE29" s="60">
        <f t="shared" si="11"/>
        <v>529</v>
      </c>
      <c r="CF29" s="64">
        <f t="shared" si="40"/>
        <v>0</v>
      </c>
      <c r="CG29" s="67">
        <f t="shared" si="40"/>
        <v>0</v>
      </c>
      <c r="CH29" s="60">
        <f t="shared" si="12"/>
        <v>0</v>
      </c>
      <c r="CI29" s="64"/>
      <c r="CJ29" s="67"/>
      <c r="CK29" s="60">
        <f t="shared" si="13"/>
        <v>0</v>
      </c>
      <c r="CL29" s="64"/>
      <c r="CM29" s="67"/>
      <c r="CN29" s="60">
        <f t="shared" si="14"/>
        <v>0</v>
      </c>
      <c r="CO29" s="64"/>
      <c r="CP29" s="67"/>
      <c r="CQ29" s="60">
        <f t="shared" si="15"/>
        <v>0</v>
      </c>
    </row>
    <row r="30" spans="2:96">
      <c r="B30" s="61" t="s">
        <v>68</v>
      </c>
      <c r="C30" s="64">
        <f t="shared" si="20"/>
        <v>172</v>
      </c>
      <c r="D30" s="67">
        <f t="shared" si="20"/>
        <v>180</v>
      </c>
      <c r="E30" s="60">
        <f t="shared" si="21"/>
        <v>352</v>
      </c>
      <c r="F30" s="64">
        <v>59</v>
      </c>
      <c r="G30" s="67">
        <v>45</v>
      </c>
      <c r="H30" s="60">
        <f t="shared" si="22"/>
        <v>104</v>
      </c>
      <c r="I30" s="64">
        <v>53</v>
      </c>
      <c r="J30" s="67">
        <v>62</v>
      </c>
      <c r="K30" s="60">
        <f t="shared" si="23"/>
        <v>115</v>
      </c>
      <c r="L30" s="64">
        <v>60</v>
      </c>
      <c r="M30" s="67">
        <v>73</v>
      </c>
      <c r="N30" s="60">
        <f t="shared" si="24"/>
        <v>133</v>
      </c>
      <c r="O30" s="64" t="s">
        <v>96</v>
      </c>
      <c r="P30" s="67" t="s">
        <v>96</v>
      </c>
      <c r="Q30" s="69"/>
      <c r="R30" s="64" t="s">
        <v>96</v>
      </c>
      <c r="S30" s="67" t="s">
        <v>96</v>
      </c>
      <c r="T30" s="69"/>
      <c r="U30" s="64" t="s">
        <v>100</v>
      </c>
      <c r="V30" s="67" t="s">
        <v>395</v>
      </c>
      <c r="W30" s="69"/>
      <c r="X30" s="64">
        <f t="shared" si="25"/>
        <v>106</v>
      </c>
      <c r="Y30" s="67">
        <f t="shared" si="26"/>
        <v>140</v>
      </c>
      <c r="Z30" s="60">
        <f t="shared" si="27"/>
        <v>246</v>
      </c>
      <c r="AA30" s="64">
        <f>VLOOKUP($B30,[1]Sheet1!$B$4:$O$55,3,FALSE)</f>
        <v>39</v>
      </c>
      <c r="AB30" s="67">
        <f>VLOOKUP($B30,[1]Sheet1!$B$4:$O$55,4,FALSE)</f>
        <v>25</v>
      </c>
      <c r="AC30" s="60">
        <f t="shared" si="28"/>
        <v>64</v>
      </c>
      <c r="AD30" s="64">
        <f>VLOOKUP($B30,[1]Sheet1!$B$4:$O$55,6,FALSE)</f>
        <v>30</v>
      </c>
      <c r="AE30" s="67">
        <f>VLOOKUP($B30,[1]Sheet1!$B$4:$O$55,7,FALSE)</f>
        <v>44</v>
      </c>
      <c r="AF30" s="60">
        <f t="shared" si="29"/>
        <v>74</v>
      </c>
      <c r="AG30" s="64">
        <f>VLOOKUP($B30,[1]Sheet1!$B$4:$O$55,9,FALSE)</f>
        <v>37</v>
      </c>
      <c r="AH30" s="67">
        <f>VLOOKUP($B30,[1]Sheet1!$B$4:$O$55,10,FALSE)</f>
        <v>71</v>
      </c>
      <c r="AI30" s="60">
        <f t="shared" si="30"/>
        <v>108</v>
      </c>
      <c r="AJ30" s="64">
        <f t="shared" si="31"/>
        <v>33</v>
      </c>
      <c r="AK30" s="67">
        <f t="shared" si="32"/>
        <v>36</v>
      </c>
      <c r="AL30" s="60">
        <f t="shared" si="33"/>
        <v>69</v>
      </c>
      <c r="AM30" s="64">
        <f>VLOOKUP($B30,[1]Sheet2!$B$4:$O$55,3,FALSE)</f>
        <v>13</v>
      </c>
      <c r="AN30" s="67">
        <f>VLOOKUP($B30,[1]Sheet2!$B$4:$O$55,4,FALSE)</f>
        <v>7</v>
      </c>
      <c r="AO30" s="60">
        <f t="shared" si="34"/>
        <v>20</v>
      </c>
      <c r="AP30" s="64">
        <f>VLOOKUP($B30,[1]Sheet2!$B$4:$O$55,6,FALSE)</f>
        <v>8</v>
      </c>
      <c r="AQ30" s="67">
        <f>VLOOKUP($B30,[1]Sheet2!$B$4:$O$55,7,FALSE)</f>
        <v>14</v>
      </c>
      <c r="AR30" s="60">
        <f t="shared" si="35"/>
        <v>22</v>
      </c>
      <c r="AS30" s="64">
        <f>VLOOKUP($B30,[1]Sheet2!$B$4:$O$55,9,FALSE)</f>
        <v>12</v>
      </c>
      <c r="AT30" s="67">
        <f>VLOOKUP($B30,[1]Sheet2!$B$4:$O$55,10,FALSE)</f>
        <v>15</v>
      </c>
      <c r="AU30" s="60">
        <f t="shared" si="36"/>
        <v>27</v>
      </c>
      <c r="AV30" s="64">
        <f t="shared" si="37"/>
        <v>7178</v>
      </c>
      <c r="AW30" s="67">
        <f t="shared" si="37"/>
        <v>13919</v>
      </c>
      <c r="AX30" s="60">
        <f t="shared" si="0"/>
        <v>21097</v>
      </c>
      <c r="AY30" s="64">
        <v>4771</v>
      </c>
      <c r="AZ30" s="67">
        <v>8367</v>
      </c>
      <c r="BA30" s="60">
        <f t="shared" si="1"/>
        <v>13138</v>
      </c>
      <c r="BB30" s="64">
        <v>1798</v>
      </c>
      <c r="BC30" s="67">
        <v>3883</v>
      </c>
      <c r="BD30" s="60">
        <f t="shared" si="2"/>
        <v>5681</v>
      </c>
      <c r="BE30" s="64">
        <v>609</v>
      </c>
      <c r="BF30" s="67">
        <v>1669</v>
      </c>
      <c r="BG30" s="60">
        <f t="shared" si="3"/>
        <v>2278</v>
      </c>
      <c r="BH30" s="64">
        <f t="shared" si="38"/>
        <v>502</v>
      </c>
      <c r="BI30" s="67">
        <f t="shared" si="38"/>
        <v>661</v>
      </c>
      <c r="BJ30" s="60">
        <f t="shared" si="4"/>
        <v>1163</v>
      </c>
      <c r="BK30" s="64">
        <v>223</v>
      </c>
      <c r="BL30" s="67">
        <v>245</v>
      </c>
      <c r="BM30" s="60">
        <f t="shared" si="5"/>
        <v>468</v>
      </c>
      <c r="BN30" s="64">
        <v>179</v>
      </c>
      <c r="BO30" s="67">
        <v>238</v>
      </c>
      <c r="BP30" s="60">
        <f t="shared" si="6"/>
        <v>417</v>
      </c>
      <c r="BQ30" s="64">
        <v>100</v>
      </c>
      <c r="BR30" s="67">
        <v>178</v>
      </c>
      <c r="BS30" s="60">
        <f t="shared" si="7"/>
        <v>278</v>
      </c>
      <c r="BT30" s="64">
        <f t="shared" si="39"/>
        <v>0</v>
      </c>
      <c r="BU30" s="67">
        <f t="shared" si="39"/>
        <v>0</v>
      </c>
      <c r="BV30" s="60">
        <f t="shared" si="8"/>
        <v>0</v>
      </c>
      <c r="BW30" s="64"/>
      <c r="BX30" s="67"/>
      <c r="BY30" s="60">
        <f t="shared" si="9"/>
        <v>0</v>
      </c>
      <c r="BZ30" s="64"/>
      <c r="CA30" s="67"/>
      <c r="CB30" s="60">
        <f t="shared" si="10"/>
        <v>0</v>
      </c>
      <c r="CC30" s="64"/>
      <c r="CD30" s="67"/>
      <c r="CE30" s="60">
        <f t="shared" si="11"/>
        <v>0</v>
      </c>
      <c r="CF30" s="64">
        <f t="shared" si="40"/>
        <v>0</v>
      </c>
      <c r="CG30" s="67">
        <f t="shared" si="40"/>
        <v>0</v>
      </c>
      <c r="CH30" s="60">
        <f t="shared" si="12"/>
        <v>0</v>
      </c>
      <c r="CI30" s="64"/>
      <c r="CJ30" s="67"/>
      <c r="CK30" s="60">
        <f t="shared" si="13"/>
        <v>0</v>
      </c>
      <c r="CL30" s="64"/>
      <c r="CM30" s="67"/>
      <c r="CN30" s="60">
        <f t="shared" si="14"/>
        <v>0</v>
      </c>
      <c r="CO30" s="64"/>
      <c r="CP30" s="67"/>
      <c r="CQ30" s="60">
        <f t="shared" si="15"/>
        <v>0</v>
      </c>
      <c r="CR30" s="56" t="s">
        <v>384</v>
      </c>
    </row>
    <row r="31" spans="2:96">
      <c r="B31" s="61" t="s">
        <v>67</v>
      </c>
      <c r="C31" s="64">
        <f t="shared" si="20"/>
        <v>87</v>
      </c>
      <c r="D31" s="67">
        <f t="shared" si="20"/>
        <v>72</v>
      </c>
      <c r="E31" s="60">
        <f t="shared" si="21"/>
        <v>159</v>
      </c>
      <c r="F31" s="64">
        <v>40</v>
      </c>
      <c r="G31" s="67">
        <v>21</v>
      </c>
      <c r="H31" s="60">
        <f t="shared" si="22"/>
        <v>61</v>
      </c>
      <c r="I31" s="64">
        <v>23</v>
      </c>
      <c r="J31" s="67">
        <v>26</v>
      </c>
      <c r="K31" s="60">
        <f t="shared" si="23"/>
        <v>49</v>
      </c>
      <c r="L31" s="64">
        <v>24</v>
      </c>
      <c r="M31" s="67">
        <v>25</v>
      </c>
      <c r="N31" s="60">
        <f t="shared" si="24"/>
        <v>49</v>
      </c>
      <c r="O31" s="64" t="s">
        <v>98</v>
      </c>
      <c r="P31" s="67" t="s">
        <v>98</v>
      </c>
      <c r="Q31" s="69"/>
      <c r="R31" s="64" t="s">
        <v>98</v>
      </c>
      <c r="S31" s="67" t="s">
        <v>98</v>
      </c>
      <c r="T31" s="69"/>
      <c r="U31" s="64" t="s">
        <v>98</v>
      </c>
      <c r="V31" s="67" t="s">
        <v>98</v>
      </c>
      <c r="W31" s="69"/>
      <c r="X31" s="64">
        <f t="shared" si="25"/>
        <v>109</v>
      </c>
      <c r="Y31" s="67">
        <f t="shared" si="26"/>
        <v>129</v>
      </c>
      <c r="Z31" s="60">
        <f t="shared" si="27"/>
        <v>238</v>
      </c>
      <c r="AA31" s="64">
        <f>VLOOKUP($B31,[1]Sheet1!$B$4:$O$55,3,FALSE)</f>
        <v>23</v>
      </c>
      <c r="AB31" s="67">
        <f>VLOOKUP($B31,[1]Sheet1!$B$4:$O$55,4,FALSE)</f>
        <v>21</v>
      </c>
      <c r="AC31" s="60">
        <f t="shared" si="28"/>
        <v>44</v>
      </c>
      <c r="AD31" s="64">
        <f>VLOOKUP($B31,[1]Sheet1!$B$4:$O$55,6,FALSE)</f>
        <v>35</v>
      </c>
      <c r="AE31" s="67">
        <f>VLOOKUP($B31,[1]Sheet1!$B$4:$O$55,7,FALSE)</f>
        <v>30</v>
      </c>
      <c r="AF31" s="60">
        <f t="shared" si="29"/>
        <v>65</v>
      </c>
      <c r="AG31" s="64">
        <f>VLOOKUP($B31,[1]Sheet1!$B$4:$O$55,9,FALSE)</f>
        <v>51</v>
      </c>
      <c r="AH31" s="67">
        <f>VLOOKUP($B31,[1]Sheet1!$B$4:$O$55,10,FALSE)</f>
        <v>78</v>
      </c>
      <c r="AI31" s="60">
        <f t="shared" si="30"/>
        <v>129</v>
      </c>
      <c r="AJ31" s="64">
        <f t="shared" si="31"/>
        <v>17</v>
      </c>
      <c r="AK31" s="67">
        <f t="shared" si="32"/>
        <v>21</v>
      </c>
      <c r="AL31" s="60">
        <f t="shared" si="33"/>
        <v>38</v>
      </c>
      <c r="AM31" s="64">
        <f>VLOOKUP($B31,[1]Sheet2!$B$4:$O$55,3,FALSE)</f>
        <v>3</v>
      </c>
      <c r="AN31" s="67">
        <f>VLOOKUP($B31,[1]Sheet2!$B$4:$O$55,4,FALSE)</f>
        <v>6</v>
      </c>
      <c r="AO31" s="60">
        <f t="shared" si="34"/>
        <v>9</v>
      </c>
      <c r="AP31" s="64">
        <f>VLOOKUP($B31,[1]Sheet2!$B$4:$O$55,6,FALSE)</f>
        <v>7</v>
      </c>
      <c r="AQ31" s="67">
        <f>VLOOKUP($B31,[1]Sheet2!$B$4:$O$55,7,FALSE)</f>
        <v>3</v>
      </c>
      <c r="AR31" s="60">
        <f t="shared" si="35"/>
        <v>10</v>
      </c>
      <c r="AS31" s="64">
        <f>VLOOKUP($B31,[1]Sheet2!$B$4:$O$55,9,FALSE)</f>
        <v>7</v>
      </c>
      <c r="AT31" s="67">
        <f>VLOOKUP($B31,[1]Sheet2!$B$4:$O$55,10,FALSE)</f>
        <v>12</v>
      </c>
      <c r="AU31" s="60">
        <f t="shared" si="36"/>
        <v>19</v>
      </c>
      <c r="AV31" s="64">
        <f t="shared" si="37"/>
        <v>8276</v>
      </c>
      <c r="AW31" s="67">
        <f t="shared" si="37"/>
        <v>14676</v>
      </c>
      <c r="AX31" s="60">
        <f t="shared" si="0"/>
        <v>22952</v>
      </c>
      <c r="AY31" s="64">
        <v>5453</v>
      </c>
      <c r="AZ31" s="67">
        <v>8464</v>
      </c>
      <c r="BA31" s="60">
        <f t="shared" si="1"/>
        <v>13917</v>
      </c>
      <c r="BB31" s="64">
        <v>2160</v>
      </c>
      <c r="BC31" s="67">
        <v>4181</v>
      </c>
      <c r="BD31" s="60">
        <f t="shared" si="2"/>
        <v>6341</v>
      </c>
      <c r="BE31" s="64">
        <v>663</v>
      </c>
      <c r="BF31" s="67">
        <v>2031</v>
      </c>
      <c r="BG31" s="60">
        <f t="shared" si="3"/>
        <v>2694</v>
      </c>
      <c r="BH31" s="64">
        <f t="shared" si="38"/>
        <v>549</v>
      </c>
      <c r="BI31" s="67">
        <f t="shared" si="38"/>
        <v>611</v>
      </c>
      <c r="BJ31" s="60">
        <f t="shared" si="4"/>
        <v>1160</v>
      </c>
      <c r="BK31" s="64">
        <v>263</v>
      </c>
      <c r="BL31" s="67">
        <v>237</v>
      </c>
      <c r="BM31" s="60">
        <f t="shared" si="5"/>
        <v>500</v>
      </c>
      <c r="BN31" s="64">
        <v>182</v>
      </c>
      <c r="BO31" s="67">
        <v>209</v>
      </c>
      <c r="BP31" s="60">
        <f t="shared" si="6"/>
        <v>391</v>
      </c>
      <c r="BQ31" s="64">
        <v>104</v>
      </c>
      <c r="BR31" s="67">
        <v>165</v>
      </c>
      <c r="BS31" s="60">
        <f t="shared" si="7"/>
        <v>269</v>
      </c>
      <c r="BT31" s="64">
        <f t="shared" si="39"/>
        <v>72</v>
      </c>
      <c r="BU31" s="67">
        <f t="shared" si="39"/>
        <v>113</v>
      </c>
      <c r="BV31" s="60">
        <f t="shared" si="8"/>
        <v>185</v>
      </c>
      <c r="BW31" s="64">
        <v>48</v>
      </c>
      <c r="BX31" s="67">
        <v>71</v>
      </c>
      <c r="BY31" s="60">
        <f t="shared" si="9"/>
        <v>119</v>
      </c>
      <c r="BZ31" s="64">
        <v>17</v>
      </c>
      <c r="CA31" s="67">
        <v>29</v>
      </c>
      <c r="CB31" s="60">
        <f t="shared" si="10"/>
        <v>46</v>
      </c>
      <c r="CC31" s="64">
        <v>7</v>
      </c>
      <c r="CD31" s="67">
        <v>13</v>
      </c>
      <c r="CE31" s="60">
        <f t="shared" si="11"/>
        <v>20</v>
      </c>
      <c r="CF31" s="64">
        <f t="shared" si="40"/>
        <v>0</v>
      </c>
      <c r="CG31" s="67">
        <f t="shared" si="40"/>
        <v>0</v>
      </c>
      <c r="CH31" s="60">
        <f t="shared" si="12"/>
        <v>0</v>
      </c>
      <c r="CI31" s="64">
        <v>0</v>
      </c>
      <c r="CJ31" s="67">
        <v>0</v>
      </c>
      <c r="CK31" s="60">
        <f t="shared" si="13"/>
        <v>0</v>
      </c>
      <c r="CL31" s="64">
        <v>0</v>
      </c>
      <c r="CM31" s="67">
        <v>0</v>
      </c>
      <c r="CN31" s="60">
        <f t="shared" si="14"/>
        <v>0</v>
      </c>
      <c r="CO31" s="64">
        <v>0</v>
      </c>
      <c r="CP31" s="67">
        <v>0</v>
      </c>
      <c r="CQ31" s="60">
        <f t="shared" si="15"/>
        <v>0</v>
      </c>
    </row>
    <row r="32" spans="2:96">
      <c r="B32" s="61" t="s">
        <v>66</v>
      </c>
      <c r="C32" s="64">
        <f t="shared" si="20"/>
        <v>19</v>
      </c>
      <c r="D32" s="67">
        <f t="shared" si="20"/>
        <v>26</v>
      </c>
      <c r="E32" s="60">
        <f t="shared" si="21"/>
        <v>45</v>
      </c>
      <c r="F32" s="64">
        <v>7</v>
      </c>
      <c r="G32" s="67">
        <v>6</v>
      </c>
      <c r="H32" s="60">
        <f t="shared" si="22"/>
        <v>13</v>
      </c>
      <c r="I32" s="64">
        <v>7</v>
      </c>
      <c r="J32" s="67">
        <v>6</v>
      </c>
      <c r="K32" s="60">
        <f t="shared" si="23"/>
        <v>13</v>
      </c>
      <c r="L32" s="64">
        <v>5</v>
      </c>
      <c r="M32" s="67">
        <v>14</v>
      </c>
      <c r="N32" s="60">
        <f t="shared" si="24"/>
        <v>19</v>
      </c>
      <c r="O32" s="64" t="s">
        <v>96</v>
      </c>
      <c r="P32" s="67" t="s">
        <v>96</v>
      </c>
      <c r="Q32" s="69"/>
      <c r="R32" s="64" t="s">
        <v>396</v>
      </c>
      <c r="S32" s="67" t="s">
        <v>397</v>
      </c>
      <c r="T32" s="69"/>
      <c r="U32" s="64" t="s">
        <v>98</v>
      </c>
      <c r="V32" s="67" t="s">
        <v>98</v>
      </c>
      <c r="W32" s="69"/>
      <c r="X32" s="64">
        <f t="shared" si="25"/>
        <v>52</v>
      </c>
      <c r="Y32" s="67">
        <f t="shared" si="26"/>
        <v>113</v>
      </c>
      <c r="Z32" s="60">
        <f t="shared" si="27"/>
        <v>165</v>
      </c>
      <c r="AA32" s="64">
        <f>VLOOKUP($B32,[1]Sheet1!$B$4:$O$55,3,FALSE)</f>
        <v>21</v>
      </c>
      <c r="AB32" s="67">
        <f>VLOOKUP($B32,[1]Sheet1!$B$4:$O$55,4,FALSE)</f>
        <v>16</v>
      </c>
      <c r="AC32" s="60">
        <f t="shared" si="28"/>
        <v>37</v>
      </c>
      <c r="AD32" s="64">
        <f>VLOOKUP($B32,[1]Sheet1!$B$4:$O$55,6,FALSE)</f>
        <v>10</v>
      </c>
      <c r="AE32" s="67">
        <f>VLOOKUP($B32,[1]Sheet1!$B$4:$O$55,7,FALSE)</f>
        <v>35</v>
      </c>
      <c r="AF32" s="60">
        <f t="shared" si="29"/>
        <v>45</v>
      </c>
      <c r="AG32" s="64">
        <f>VLOOKUP($B32,[1]Sheet1!$B$4:$O$55,9,FALSE)</f>
        <v>21</v>
      </c>
      <c r="AH32" s="67">
        <f>VLOOKUP($B32,[1]Sheet1!$B$4:$O$55,10,FALSE)</f>
        <v>62</v>
      </c>
      <c r="AI32" s="60">
        <f t="shared" si="30"/>
        <v>83</v>
      </c>
      <c r="AJ32" s="64">
        <f t="shared" si="31"/>
        <v>8</v>
      </c>
      <c r="AK32" s="67">
        <f t="shared" si="32"/>
        <v>20</v>
      </c>
      <c r="AL32" s="60">
        <f t="shared" si="33"/>
        <v>28</v>
      </c>
      <c r="AM32" s="64">
        <f>VLOOKUP($B32,[1]Sheet2!$B$4:$O$55,3,FALSE)</f>
        <v>2</v>
      </c>
      <c r="AN32" s="67">
        <f>VLOOKUP($B32,[1]Sheet2!$B$4:$O$55,4,FALSE)</f>
        <v>2</v>
      </c>
      <c r="AO32" s="60">
        <f t="shared" si="34"/>
        <v>4</v>
      </c>
      <c r="AP32" s="64">
        <f>VLOOKUP($B32,[1]Sheet2!$B$4:$O$55,6,FALSE)</f>
        <v>1</v>
      </c>
      <c r="AQ32" s="67">
        <f>VLOOKUP($B32,[1]Sheet2!$B$4:$O$55,7,FALSE)</f>
        <v>7</v>
      </c>
      <c r="AR32" s="60">
        <f t="shared" si="35"/>
        <v>8</v>
      </c>
      <c r="AS32" s="64">
        <f>VLOOKUP($B32,[1]Sheet2!$B$4:$O$55,9,FALSE)</f>
        <v>5</v>
      </c>
      <c r="AT32" s="67">
        <f>VLOOKUP($B32,[1]Sheet2!$B$4:$O$55,10,FALSE)</f>
        <v>11</v>
      </c>
      <c r="AU32" s="60">
        <f t="shared" si="36"/>
        <v>16</v>
      </c>
      <c r="AV32" s="64">
        <f t="shared" si="37"/>
        <v>7576</v>
      </c>
      <c r="AW32" s="67">
        <f t="shared" si="37"/>
        <v>12351</v>
      </c>
      <c r="AX32" s="60">
        <f t="shared" si="0"/>
        <v>19927</v>
      </c>
      <c r="AY32" s="64">
        <v>4848</v>
      </c>
      <c r="AZ32" s="67">
        <v>7228</v>
      </c>
      <c r="BA32" s="60">
        <f t="shared" si="1"/>
        <v>12076</v>
      </c>
      <c r="BB32" s="64">
        <v>2086</v>
      </c>
      <c r="BC32" s="67">
        <v>3453</v>
      </c>
      <c r="BD32" s="60">
        <f t="shared" si="2"/>
        <v>5539</v>
      </c>
      <c r="BE32" s="64">
        <v>642</v>
      </c>
      <c r="BF32" s="67">
        <v>1670</v>
      </c>
      <c r="BG32" s="60">
        <f t="shared" si="3"/>
        <v>2312</v>
      </c>
      <c r="BH32" s="64">
        <f t="shared" si="38"/>
        <v>311</v>
      </c>
      <c r="BI32" s="67">
        <f t="shared" si="38"/>
        <v>397</v>
      </c>
      <c r="BJ32" s="60">
        <f t="shared" si="4"/>
        <v>708</v>
      </c>
      <c r="BK32" s="64">
        <v>148</v>
      </c>
      <c r="BL32" s="67">
        <v>149</v>
      </c>
      <c r="BM32" s="60">
        <f t="shared" si="5"/>
        <v>297</v>
      </c>
      <c r="BN32" s="64">
        <v>111</v>
      </c>
      <c r="BO32" s="67">
        <v>129</v>
      </c>
      <c r="BP32" s="60">
        <f t="shared" si="6"/>
        <v>240</v>
      </c>
      <c r="BQ32" s="64">
        <v>52</v>
      </c>
      <c r="BR32" s="67">
        <v>119</v>
      </c>
      <c r="BS32" s="60">
        <f t="shared" si="7"/>
        <v>171</v>
      </c>
      <c r="BT32" s="64">
        <f t="shared" si="39"/>
        <v>107</v>
      </c>
      <c r="BU32" s="67">
        <f t="shared" si="39"/>
        <v>227</v>
      </c>
      <c r="BV32" s="60">
        <f t="shared" si="8"/>
        <v>334</v>
      </c>
      <c r="BW32" s="64">
        <v>78</v>
      </c>
      <c r="BX32" s="67">
        <v>105</v>
      </c>
      <c r="BY32" s="60">
        <f t="shared" si="9"/>
        <v>183</v>
      </c>
      <c r="BZ32" s="64">
        <v>18</v>
      </c>
      <c r="CA32" s="67">
        <v>48</v>
      </c>
      <c r="CB32" s="60">
        <f t="shared" si="10"/>
        <v>66</v>
      </c>
      <c r="CC32" s="64">
        <v>11</v>
      </c>
      <c r="CD32" s="67">
        <v>74</v>
      </c>
      <c r="CE32" s="60">
        <f t="shared" si="11"/>
        <v>85</v>
      </c>
      <c r="CF32" s="64">
        <f t="shared" si="40"/>
        <v>195</v>
      </c>
      <c r="CG32" s="67">
        <f t="shared" si="40"/>
        <v>274</v>
      </c>
      <c r="CH32" s="60">
        <f t="shared" si="12"/>
        <v>469</v>
      </c>
      <c r="CI32" s="64">
        <v>125</v>
      </c>
      <c r="CJ32" s="67">
        <v>185</v>
      </c>
      <c r="CK32" s="60">
        <f t="shared" si="13"/>
        <v>310</v>
      </c>
      <c r="CL32" s="64">
        <v>58</v>
      </c>
      <c r="CM32" s="67">
        <v>75</v>
      </c>
      <c r="CN32" s="60">
        <f t="shared" si="14"/>
        <v>133</v>
      </c>
      <c r="CO32" s="64">
        <v>12</v>
      </c>
      <c r="CP32" s="67">
        <v>14</v>
      </c>
      <c r="CQ32" s="60">
        <f t="shared" si="15"/>
        <v>26</v>
      </c>
    </row>
    <row r="33" spans="2:95">
      <c r="B33" s="61" t="s">
        <v>65</v>
      </c>
      <c r="C33" s="64">
        <f t="shared" si="20"/>
        <v>88</v>
      </c>
      <c r="D33" s="67">
        <f t="shared" si="20"/>
        <v>87</v>
      </c>
      <c r="E33" s="60">
        <f t="shared" si="21"/>
        <v>175</v>
      </c>
      <c r="F33" s="64">
        <v>32</v>
      </c>
      <c r="G33" s="67">
        <v>10</v>
      </c>
      <c r="H33" s="60">
        <f t="shared" si="22"/>
        <v>42</v>
      </c>
      <c r="I33" s="64">
        <v>29</v>
      </c>
      <c r="J33" s="67">
        <v>31</v>
      </c>
      <c r="K33" s="60">
        <f t="shared" si="23"/>
        <v>60</v>
      </c>
      <c r="L33" s="64">
        <v>27</v>
      </c>
      <c r="M33" s="67">
        <v>46</v>
      </c>
      <c r="N33" s="60">
        <f t="shared" si="24"/>
        <v>73</v>
      </c>
      <c r="O33" s="64" t="s">
        <v>398</v>
      </c>
      <c r="P33" s="67" t="s">
        <v>96</v>
      </c>
      <c r="Q33" s="69"/>
      <c r="R33" s="64" t="s">
        <v>399</v>
      </c>
      <c r="S33" s="67" t="s">
        <v>400</v>
      </c>
      <c r="T33" s="69"/>
      <c r="U33" s="64" t="s">
        <v>401</v>
      </c>
      <c r="V33" s="67" t="s">
        <v>402</v>
      </c>
      <c r="W33" s="69"/>
      <c r="X33" s="64">
        <f t="shared" si="25"/>
        <v>50</v>
      </c>
      <c r="Y33" s="67">
        <f t="shared" si="26"/>
        <v>83</v>
      </c>
      <c r="Z33" s="60">
        <f t="shared" si="27"/>
        <v>133</v>
      </c>
      <c r="AA33" s="64">
        <f>VLOOKUP($B33,[1]Sheet1!$B$4:$O$55,3,FALSE)</f>
        <v>17</v>
      </c>
      <c r="AB33" s="67">
        <f>VLOOKUP($B33,[1]Sheet1!$B$4:$O$55,4,FALSE)</f>
        <v>14</v>
      </c>
      <c r="AC33" s="60">
        <f t="shared" si="28"/>
        <v>31</v>
      </c>
      <c r="AD33" s="64">
        <f>VLOOKUP($B33,[1]Sheet1!$B$4:$O$55,6,FALSE)</f>
        <v>15</v>
      </c>
      <c r="AE33" s="67">
        <f>VLOOKUP($B33,[1]Sheet1!$B$4:$O$55,7,FALSE)</f>
        <v>21</v>
      </c>
      <c r="AF33" s="60">
        <f t="shared" si="29"/>
        <v>36</v>
      </c>
      <c r="AG33" s="64">
        <f>VLOOKUP($B33,[1]Sheet1!$B$4:$O$55,9,FALSE)</f>
        <v>18</v>
      </c>
      <c r="AH33" s="67">
        <f>VLOOKUP($B33,[1]Sheet1!$B$4:$O$55,10,FALSE)</f>
        <v>48</v>
      </c>
      <c r="AI33" s="60">
        <f t="shared" si="30"/>
        <v>66</v>
      </c>
      <c r="AJ33" s="64">
        <f t="shared" si="31"/>
        <v>11</v>
      </c>
      <c r="AK33" s="67">
        <f t="shared" si="32"/>
        <v>13</v>
      </c>
      <c r="AL33" s="60">
        <f t="shared" si="33"/>
        <v>24</v>
      </c>
      <c r="AM33" s="64">
        <f>VLOOKUP($B33,[1]Sheet2!$B$4:$O$55,3,FALSE)</f>
        <v>4</v>
      </c>
      <c r="AN33" s="67">
        <f>VLOOKUP($B33,[1]Sheet2!$B$4:$O$55,4,FALSE)</f>
        <v>4</v>
      </c>
      <c r="AO33" s="60">
        <f t="shared" si="34"/>
        <v>8</v>
      </c>
      <c r="AP33" s="64">
        <f>VLOOKUP($B33,[1]Sheet2!$B$4:$O$55,6,FALSE)</f>
        <v>3</v>
      </c>
      <c r="AQ33" s="67">
        <f>VLOOKUP($B33,[1]Sheet2!$B$4:$O$55,7,FALSE)</f>
        <v>2</v>
      </c>
      <c r="AR33" s="60">
        <f t="shared" si="35"/>
        <v>5</v>
      </c>
      <c r="AS33" s="64">
        <f>VLOOKUP($B33,[1]Sheet2!$B$4:$O$55,9,FALSE)</f>
        <v>4</v>
      </c>
      <c r="AT33" s="67">
        <f>VLOOKUP($B33,[1]Sheet2!$B$4:$O$55,10,FALSE)</f>
        <v>7</v>
      </c>
      <c r="AU33" s="60">
        <f t="shared" si="36"/>
        <v>11</v>
      </c>
      <c r="AV33" s="64">
        <f t="shared" si="37"/>
        <v>0</v>
      </c>
      <c r="AW33" s="67">
        <f t="shared" si="37"/>
        <v>0</v>
      </c>
      <c r="AX33" s="60">
        <f t="shared" si="0"/>
        <v>0</v>
      </c>
      <c r="AY33" s="64"/>
      <c r="AZ33" s="67"/>
      <c r="BA33" s="60">
        <f t="shared" si="1"/>
        <v>0</v>
      </c>
      <c r="BB33" s="64"/>
      <c r="BC33" s="67"/>
      <c r="BD33" s="60">
        <f t="shared" si="2"/>
        <v>0</v>
      </c>
      <c r="BE33" s="64"/>
      <c r="BF33" s="67"/>
      <c r="BG33" s="60">
        <f t="shared" si="3"/>
        <v>0</v>
      </c>
      <c r="BH33" s="64">
        <f t="shared" si="38"/>
        <v>3</v>
      </c>
      <c r="BI33" s="67">
        <f t="shared" si="38"/>
        <v>4</v>
      </c>
      <c r="BJ33" s="60">
        <f t="shared" si="4"/>
        <v>7</v>
      </c>
      <c r="BK33" s="64">
        <v>0</v>
      </c>
      <c r="BL33" s="67">
        <v>2</v>
      </c>
      <c r="BM33" s="60">
        <f t="shared" si="5"/>
        <v>2</v>
      </c>
      <c r="BN33" s="64">
        <v>1</v>
      </c>
      <c r="BO33" s="67">
        <v>2</v>
      </c>
      <c r="BP33" s="60">
        <f t="shared" si="6"/>
        <v>3</v>
      </c>
      <c r="BQ33" s="64">
        <v>2</v>
      </c>
      <c r="BR33" s="67">
        <v>0</v>
      </c>
      <c r="BS33" s="60">
        <f t="shared" si="7"/>
        <v>2</v>
      </c>
      <c r="BT33" s="64">
        <f t="shared" si="39"/>
        <v>0</v>
      </c>
      <c r="BU33" s="67">
        <f t="shared" si="39"/>
        <v>0</v>
      </c>
      <c r="BV33" s="60">
        <f t="shared" si="8"/>
        <v>0</v>
      </c>
      <c r="BW33" s="64"/>
      <c r="BX33" s="67"/>
      <c r="BY33" s="60">
        <f t="shared" si="9"/>
        <v>0</v>
      </c>
      <c r="BZ33" s="64"/>
      <c r="CA33" s="67"/>
      <c r="CB33" s="60">
        <f t="shared" si="10"/>
        <v>0</v>
      </c>
      <c r="CC33" s="64"/>
      <c r="CD33" s="67"/>
      <c r="CE33" s="60">
        <f t="shared" si="11"/>
        <v>0</v>
      </c>
      <c r="CF33" s="64">
        <f t="shared" si="40"/>
        <v>0</v>
      </c>
      <c r="CG33" s="67">
        <f t="shared" si="40"/>
        <v>0</v>
      </c>
      <c r="CH33" s="60">
        <f t="shared" si="12"/>
        <v>0</v>
      </c>
      <c r="CI33" s="64">
        <v>0</v>
      </c>
      <c r="CJ33" s="67">
        <v>0</v>
      </c>
      <c r="CK33" s="60">
        <f t="shared" si="13"/>
        <v>0</v>
      </c>
      <c r="CL33" s="64">
        <v>0</v>
      </c>
      <c r="CM33" s="67">
        <v>0</v>
      </c>
      <c r="CN33" s="60">
        <f t="shared" si="14"/>
        <v>0</v>
      </c>
      <c r="CO33" s="64">
        <v>0</v>
      </c>
      <c r="CP33" s="67">
        <v>0</v>
      </c>
      <c r="CQ33" s="60">
        <f t="shared" si="15"/>
        <v>0</v>
      </c>
    </row>
    <row r="34" spans="2:95">
      <c r="B34" s="61" t="s">
        <v>64</v>
      </c>
      <c r="C34" s="64">
        <f t="shared" si="20"/>
        <v>17</v>
      </c>
      <c r="D34" s="67">
        <f t="shared" si="20"/>
        <v>15</v>
      </c>
      <c r="E34" s="60">
        <f t="shared" si="21"/>
        <v>32</v>
      </c>
      <c r="F34" s="64">
        <v>3</v>
      </c>
      <c r="G34" s="67">
        <v>4</v>
      </c>
      <c r="H34" s="60">
        <f t="shared" si="22"/>
        <v>7</v>
      </c>
      <c r="I34" s="64">
        <v>7</v>
      </c>
      <c r="J34" s="67">
        <v>6</v>
      </c>
      <c r="K34" s="60">
        <f t="shared" si="23"/>
        <v>13</v>
      </c>
      <c r="L34" s="64">
        <v>7</v>
      </c>
      <c r="M34" s="67">
        <v>5</v>
      </c>
      <c r="N34" s="60">
        <f t="shared" si="24"/>
        <v>12</v>
      </c>
      <c r="O34" s="64"/>
      <c r="P34" s="67"/>
      <c r="Q34" s="69"/>
      <c r="R34" s="64"/>
      <c r="S34" s="67"/>
      <c r="T34" s="69"/>
      <c r="U34" s="64"/>
      <c r="V34" s="67"/>
      <c r="W34" s="69"/>
      <c r="X34" s="64">
        <f t="shared" si="25"/>
        <v>78</v>
      </c>
      <c r="Y34" s="67">
        <f t="shared" si="26"/>
        <v>130</v>
      </c>
      <c r="Z34" s="60">
        <f t="shared" si="27"/>
        <v>208</v>
      </c>
      <c r="AA34" s="64">
        <f>VLOOKUP($B34,[1]Sheet1!$B$4:$O$55,3,FALSE)</f>
        <v>17</v>
      </c>
      <c r="AB34" s="67">
        <f>VLOOKUP($B34,[1]Sheet1!$B$4:$O$55,4,FALSE)</f>
        <v>19</v>
      </c>
      <c r="AC34" s="60">
        <f t="shared" si="28"/>
        <v>36</v>
      </c>
      <c r="AD34" s="64">
        <f>VLOOKUP($B34,[1]Sheet1!$B$4:$O$55,6,FALSE)</f>
        <v>22</v>
      </c>
      <c r="AE34" s="67">
        <f>VLOOKUP($B34,[1]Sheet1!$B$4:$O$55,7,FALSE)</f>
        <v>34</v>
      </c>
      <c r="AF34" s="60">
        <f t="shared" si="29"/>
        <v>56</v>
      </c>
      <c r="AG34" s="64">
        <f>VLOOKUP($B34,[1]Sheet1!$B$4:$O$55,9,FALSE)</f>
        <v>39</v>
      </c>
      <c r="AH34" s="67">
        <f>VLOOKUP($B34,[1]Sheet1!$B$4:$O$55,10,FALSE)</f>
        <v>77</v>
      </c>
      <c r="AI34" s="60">
        <f t="shared" si="30"/>
        <v>116</v>
      </c>
      <c r="AJ34" s="64">
        <f t="shared" si="31"/>
        <v>13</v>
      </c>
      <c r="AK34" s="67">
        <f t="shared" si="32"/>
        <v>22</v>
      </c>
      <c r="AL34" s="60">
        <f t="shared" si="33"/>
        <v>35</v>
      </c>
      <c r="AM34" s="64">
        <f>VLOOKUP($B34,[1]Sheet2!$B$4:$O$55,3,FALSE)</f>
        <v>5</v>
      </c>
      <c r="AN34" s="67">
        <f>VLOOKUP($B34,[1]Sheet2!$B$4:$O$55,4,FALSE)</f>
        <v>5</v>
      </c>
      <c r="AO34" s="60">
        <f t="shared" si="34"/>
        <v>10</v>
      </c>
      <c r="AP34" s="64">
        <f>VLOOKUP($B34,[1]Sheet2!$B$4:$O$55,6,FALSE)</f>
        <v>2</v>
      </c>
      <c r="AQ34" s="67">
        <f>VLOOKUP($B34,[1]Sheet2!$B$4:$O$55,7,FALSE)</f>
        <v>4</v>
      </c>
      <c r="AR34" s="60">
        <f t="shared" si="35"/>
        <v>6</v>
      </c>
      <c r="AS34" s="64">
        <f>VLOOKUP($B34,[1]Sheet2!$B$4:$O$55,9,FALSE)</f>
        <v>6</v>
      </c>
      <c r="AT34" s="67">
        <f>VLOOKUP($B34,[1]Sheet2!$B$4:$O$55,10,FALSE)</f>
        <v>13</v>
      </c>
      <c r="AU34" s="60">
        <f t="shared" si="36"/>
        <v>19</v>
      </c>
      <c r="AV34" s="64">
        <f t="shared" si="37"/>
        <v>0</v>
      </c>
      <c r="AW34" s="67">
        <f t="shared" si="37"/>
        <v>0</v>
      </c>
      <c r="AX34" s="60">
        <f t="shared" si="0"/>
        <v>0</v>
      </c>
      <c r="AY34" s="64"/>
      <c r="AZ34" s="67"/>
      <c r="BA34" s="60">
        <f t="shared" si="1"/>
        <v>0</v>
      </c>
      <c r="BB34" s="64"/>
      <c r="BC34" s="67"/>
      <c r="BD34" s="60">
        <f t="shared" si="2"/>
        <v>0</v>
      </c>
      <c r="BE34" s="64"/>
      <c r="BF34" s="67"/>
      <c r="BG34" s="60">
        <f t="shared" si="3"/>
        <v>0</v>
      </c>
      <c r="BH34" s="64">
        <f t="shared" si="38"/>
        <v>0</v>
      </c>
      <c r="BI34" s="67">
        <f t="shared" si="38"/>
        <v>0</v>
      </c>
      <c r="BJ34" s="60">
        <f t="shared" si="4"/>
        <v>0</v>
      </c>
      <c r="BK34" s="64"/>
      <c r="BL34" s="67"/>
      <c r="BM34" s="60">
        <f t="shared" si="5"/>
        <v>0</v>
      </c>
      <c r="BN34" s="64"/>
      <c r="BO34" s="67"/>
      <c r="BP34" s="60">
        <f t="shared" si="6"/>
        <v>0</v>
      </c>
      <c r="BQ34" s="64"/>
      <c r="BR34" s="67"/>
      <c r="BS34" s="60">
        <f t="shared" si="7"/>
        <v>0</v>
      </c>
      <c r="BT34" s="64">
        <f t="shared" si="39"/>
        <v>0</v>
      </c>
      <c r="BU34" s="67">
        <f t="shared" si="39"/>
        <v>0</v>
      </c>
      <c r="BV34" s="60">
        <f t="shared" si="8"/>
        <v>0</v>
      </c>
      <c r="BW34" s="64"/>
      <c r="BX34" s="67"/>
      <c r="BY34" s="60">
        <f t="shared" si="9"/>
        <v>0</v>
      </c>
      <c r="BZ34" s="64"/>
      <c r="CA34" s="67"/>
      <c r="CB34" s="60">
        <f t="shared" si="10"/>
        <v>0</v>
      </c>
      <c r="CC34" s="64"/>
      <c r="CD34" s="67"/>
      <c r="CE34" s="60">
        <f t="shared" si="11"/>
        <v>0</v>
      </c>
      <c r="CF34" s="64">
        <f t="shared" si="40"/>
        <v>0</v>
      </c>
      <c r="CG34" s="67">
        <f t="shared" si="40"/>
        <v>0</v>
      </c>
      <c r="CH34" s="60">
        <f t="shared" si="12"/>
        <v>0</v>
      </c>
      <c r="CI34" s="64"/>
      <c r="CJ34" s="67"/>
      <c r="CK34" s="60">
        <f t="shared" si="13"/>
        <v>0</v>
      </c>
      <c r="CL34" s="64"/>
      <c r="CM34" s="67"/>
      <c r="CN34" s="60">
        <f t="shared" si="14"/>
        <v>0</v>
      </c>
      <c r="CO34" s="64"/>
      <c r="CP34" s="67"/>
      <c r="CQ34" s="60">
        <f t="shared" si="15"/>
        <v>0</v>
      </c>
    </row>
    <row r="35" spans="2:95">
      <c r="B35" s="61" t="s">
        <v>63</v>
      </c>
      <c r="C35" s="64">
        <f t="shared" si="20"/>
        <v>0</v>
      </c>
      <c r="D35" s="67">
        <f t="shared" si="20"/>
        <v>0</v>
      </c>
      <c r="E35" s="60">
        <f t="shared" si="21"/>
        <v>0</v>
      </c>
      <c r="F35" s="64"/>
      <c r="G35" s="67"/>
      <c r="H35" s="60">
        <f t="shared" si="22"/>
        <v>0</v>
      </c>
      <c r="I35" s="64"/>
      <c r="J35" s="67"/>
      <c r="K35" s="60">
        <f t="shared" si="23"/>
        <v>0</v>
      </c>
      <c r="L35" s="64"/>
      <c r="M35" s="67"/>
      <c r="N35" s="60">
        <f t="shared" si="24"/>
        <v>0</v>
      </c>
      <c r="O35" s="64"/>
      <c r="P35" s="67"/>
      <c r="Q35" s="69"/>
      <c r="R35" s="64"/>
      <c r="S35" s="67"/>
      <c r="T35" s="69"/>
      <c r="U35" s="64"/>
      <c r="V35" s="67"/>
      <c r="W35" s="69"/>
      <c r="X35" s="64">
        <f t="shared" si="25"/>
        <v>49</v>
      </c>
      <c r="Y35" s="67">
        <f t="shared" si="26"/>
        <v>89</v>
      </c>
      <c r="Z35" s="60">
        <f t="shared" si="27"/>
        <v>138</v>
      </c>
      <c r="AA35" s="64">
        <f>VLOOKUP($B35,[1]Sheet1!$B$4:$O$55,3,FALSE)</f>
        <v>10</v>
      </c>
      <c r="AB35" s="67">
        <f>VLOOKUP($B35,[1]Sheet1!$B$4:$O$55,4,FALSE)</f>
        <v>25</v>
      </c>
      <c r="AC35" s="60">
        <f t="shared" si="28"/>
        <v>35</v>
      </c>
      <c r="AD35" s="64">
        <f>VLOOKUP($B35,[1]Sheet1!$B$4:$O$55,6,FALSE)</f>
        <v>23</v>
      </c>
      <c r="AE35" s="67">
        <f>VLOOKUP($B35,[1]Sheet1!$B$4:$O$55,7,FALSE)</f>
        <v>28</v>
      </c>
      <c r="AF35" s="60">
        <f t="shared" si="29"/>
        <v>51</v>
      </c>
      <c r="AG35" s="64">
        <f>VLOOKUP($B35,[1]Sheet1!$B$4:$O$55,9,FALSE)</f>
        <v>16</v>
      </c>
      <c r="AH35" s="67">
        <f>VLOOKUP($B35,[1]Sheet1!$B$4:$O$55,10,FALSE)</f>
        <v>36</v>
      </c>
      <c r="AI35" s="60">
        <f t="shared" si="30"/>
        <v>52</v>
      </c>
      <c r="AJ35" s="64">
        <f t="shared" si="31"/>
        <v>15</v>
      </c>
      <c r="AK35" s="67">
        <f t="shared" si="32"/>
        <v>30</v>
      </c>
      <c r="AL35" s="60">
        <f t="shared" si="33"/>
        <v>45</v>
      </c>
      <c r="AM35" s="64">
        <f>VLOOKUP($B35,[1]Sheet2!$B$4:$O$55,3,FALSE)</f>
        <v>3</v>
      </c>
      <c r="AN35" s="67">
        <f>VLOOKUP($B35,[1]Sheet2!$B$4:$O$55,4,FALSE)</f>
        <v>6</v>
      </c>
      <c r="AO35" s="60">
        <f t="shared" si="34"/>
        <v>9</v>
      </c>
      <c r="AP35" s="64">
        <f>VLOOKUP($B35,[1]Sheet2!$B$4:$O$55,6,FALSE)</f>
        <v>10</v>
      </c>
      <c r="AQ35" s="67">
        <f>VLOOKUP($B35,[1]Sheet2!$B$4:$O$55,7,FALSE)</f>
        <v>10</v>
      </c>
      <c r="AR35" s="60">
        <f t="shared" si="35"/>
        <v>20</v>
      </c>
      <c r="AS35" s="64">
        <f>VLOOKUP($B35,[1]Sheet2!$B$4:$O$55,9,FALSE)</f>
        <v>2</v>
      </c>
      <c r="AT35" s="67">
        <f>VLOOKUP($B35,[1]Sheet2!$B$4:$O$55,10,FALSE)</f>
        <v>14</v>
      </c>
      <c r="AU35" s="60">
        <f t="shared" si="36"/>
        <v>16</v>
      </c>
      <c r="AV35" s="64">
        <f t="shared" si="37"/>
        <v>1920</v>
      </c>
      <c r="AW35" s="67">
        <f t="shared" si="37"/>
        <v>5820</v>
      </c>
      <c r="AX35" s="60">
        <f t="shared" si="0"/>
        <v>7740</v>
      </c>
      <c r="AY35" s="64">
        <v>1920</v>
      </c>
      <c r="AZ35" s="67">
        <v>5820</v>
      </c>
      <c r="BA35" s="60">
        <f t="shared" si="1"/>
        <v>7740</v>
      </c>
      <c r="BB35" s="64"/>
      <c r="BC35" s="67"/>
      <c r="BD35" s="60">
        <f t="shared" si="2"/>
        <v>0</v>
      </c>
      <c r="BE35" s="64"/>
      <c r="BF35" s="67"/>
      <c r="BG35" s="60">
        <f t="shared" si="3"/>
        <v>0</v>
      </c>
      <c r="BH35" s="64">
        <f t="shared" si="38"/>
        <v>0</v>
      </c>
      <c r="BI35" s="67">
        <f t="shared" si="38"/>
        <v>0</v>
      </c>
      <c r="BJ35" s="60">
        <f t="shared" si="4"/>
        <v>0</v>
      </c>
      <c r="BK35" s="64"/>
      <c r="BL35" s="67"/>
      <c r="BM35" s="60">
        <f t="shared" si="5"/>
        <v>0</v>
      </c>
      <c r="BN35" s="64"/>
      <c r="BO35" s="67"/>
      <c r="BP35" s="60">
        <f t="shared" si="6"/>
        <v>0</v>
      </c>
      <c r="BQ35" s="64"/>
      <c r="BR35" s="67"/>
      <c r="BS35" s="60">
        <f t="shared" si="7"/>
        <v>0</v>
      </c>
      <c r="BT35" s="64">
        <f t="shared" si="39"/>
        <v>0</v>
      </c>
      <c r="BU35" s="67">
        <f t="shared" si="39"/>
        <v>0</v>
      </c>
      <c r="BV35" s="60">
        <f t="shared" si="8"/>
        <v>0</v>
      </c>
      <c r="BW35" s="64"/>
      <c r="BX35" s="67"/>
      <c r="BY35" s="60">
        <f t="shared" si="9"/>
        <v>0</v>
      </c>
      <c r="BZ35" s="64"/>
      <c r="CA35" s="67"/>
      <c r="CB35" s="60">
        <f t="shared" si="10"/>
        <v>0</v>
      </c>
      <c r="CC35" s="64"/>
      <c r="CD35" s="67"/>
      <c r="CE35" s="60">
        <f t="shared" si="11"/>
        <v>0</v>
      </c>
      <c r="CF35" s="64">
        <f t="shared" si="40"/>
        <v>0</v>
      </c>
      <c r="CG35" s="67">
        <f t="shared" si="40"/>
        <v>0</v>
      </c>
      <c r="CH35" s="60">
        <f t="shared" si="12"/>
        <v>0</v>
      </c>
      <c r="CI35" s="64"/>
      <c r="CJ35" s="67"/>
      <c r="CK35" s="60">
        <f t="shared" si="13"/>
        <v>0</v>
      </c>
      <c r="CL35" s="64"/>
      <c r="CM35" s="67"/>
      <c r="CN35" s="60">
        <f t="shared" si="14"/>
        <v>0</v>
      </c>
      <c r="CO35" s="64"/>
      <c r="CP35" s="67"/>
      <c r="CQ35" s="60">
        <f t="shared" si="15"/>
        <v>0</v>
      </c>
    </row>
    <row r="36" spans="2:95">
      <c r="B36" s="61" t="s">
        <v>62</v>
      </c>
      <c r="C36" s="64">
        <f t="shared" si="20"/>
        <v>20</v>
      </c>
      <c r="D36" s="67">
        <f t="shared" si="20"/>
        <v>16</v>
      </c>
      <c r="E36" s="60">
        <f t="shared" si="21"/>
        <v>36</v>
      </c>
      <c r="F36" s="64">
        <v>10</v>
      </c>
      <c r="G36" s="67">
        <v>3</v>
      </c>
      <c r="H36" s="60">
        <f t="shared" si="22"/>
        <v>13</v>
      </c>
      <c r="I36" s="64">
        <v>7</v>
      </c>
      <c r="J36" s="67">
        <v>5</v>
      </c>
      <c r="K36" s="60">
        <f t="shared" si="23"/>
        <v>12</v>
      </c>
      <c r="L36" s="64">
        <v>3</v>
      </c>
      <c r="M36" s="67">
        <v>8</v>
      </c>
      <c r="N36" s="60">
        <f t="shared" si="24"/>
        <v>11</v>
      </c>
      <c r="O36" s="64"/>
      <c r="P36" s="67"/>
      <c r="Q36" s="69"/>
      <c r="R36" s="64"/>
      <c r="S36" s="67"/>
      <c r="T36" s="69"/>
      <c r="U36" s="64"/>
      <c r="V36" s="67"/>
      <c r="W36" s="69"/>
      <c r="X36" s="64">
        <f t="shared" si="25"/>
        <v>154</v>
      </c>
      <c r="Y36" s="67">
        <f t="shared" si="26"/>
        <v>229</v>
      </c>
      <c r="Z36" s="60">
        <f t="shared" si="27"/>
        <v>383</v>
      </c>
      <c r="AA36" s="64">
        <f>VLOOKUP($B36,[1]Sheet1!$B$4:$O$55,3,FALSE)</f>
        <v>53</v>
      </c>
      <c r="AB36" s="67">
        <f>VLOOKUP($B36,[1]Sheet1!$B$4:$O$55,4,FALSE)</f>
        <v>47</v>
      </c>
      <c r="AC36" s="60">
        <f t="shared" si="28"/>
        <v>100</v>
      </c>
      <c r="AD36" s="64">
        <f>VLOOKUP($B36,[1]Sheet1!$B$4:$O$55,6,FALSE)</f>
        <v>48</v>
      </c>
      <c r="AE36" s="67">
        <f>VLOOKUP($B36,[1]Sheet1!$B$4:$O$55,7,FALSE)</f>
        <v>82</v>
      </c>
      <c r="AF36" s="60">
        <f t="shared" si="29"/>
        <v>130</v>
      </c>
      <c r="AG36" s="64">
        <f>VLOOKUP($B36,[1]Sheet1!$B$4:$O$55,9,FALSE)</f>
        <v>53</v>
      </c>
      <c r="AH36" s="67">
        <f>VLOOKUP($B36,[1]Sheet1!$B$4:$O$55,10,FALSE)</f>
        <v>100</v>
      </c>
      <c r="AI36" s="60">
        <f t="shared" si="30"/>
        <v>153</v>
      </c>
      <c r="AJ36" s="64">
        <f t="shared" si="31"/>
        <v>73</v>
      </c>
      <c r="AK36" s="67">
        <f t="shared" si="32"/>
        <v>123</v>
      </c>
      <c r="AL36" s="60">
        <f t="shared" si="33"/>
        <v>196</v>
      </c>
      <c r="AM36" s="64">
        <f>VLOOKUP($B36,[1]Sheet2!$B$4:$O$55,3,FALSE)</f>
        <v>21</v>
      </c>
      <c r="AN36" s="67">
        <f>VLOOKUP($B36,[1]Sheet2!$B$4:$O$55,4,FALSE)</f>
        <v>27</v>
      </c>
      <c r="AO36" s="60">
        <f t="shared" si="34"/>
        <v>48</v>
      </c>
      <c r="AP36" s="64">
        <f>VLOOKUP($B36,[1]Sheet2!$B$4:$O$55,6,FALSE)</f>
        <v>25</v>
      </c>
      <c r="AQ36" s="67">
        <f>VLOOKUP($B36,[1]Sheet2!$B$4:$O$55,7,FALSE)</f>
        <v>45</v>
      </c>
      <c r="AR36" s="60">
        <f t="shared" si="35"/>
        <v>70</v>
      </c>
      <c r="AS36" s="64">
        <f>VLOOKUP($B36,[1]Sheet2!$B$4:$O$55,9,FALSE)</f>
        <v>27</v>
      </c>
      <c r="AT36" s="67">
        <f>VLOOKUP($B36,[1]Sheet2!$B$4:$O$55,10,FALSE)</f>
        <v>51</v>
      </c>
      <c r="AU36" s="60">
        <f t="shared" si="36"/>
        <v>78</v>
      </c>
      <c r="AV36" s="64">
        <f t="shared" si="37"/>
        <v>0</v>
      </c>
      <c r="AW36" s="67">
        <f t="shared" si="37"/>
        <v>0</v>
      </c>
      <c r="AX36" s="60">
        <f t="shared" si="0"/>
        <v>0</v>
      </c>
      <c r="AY36" s="64"/>
      <c r="AZ36" s="67"/>
      <c r="BA36" s="60">
        <f t="shared" si="1"/>
        <v>0</v>
      </c>
      <c r="BB36" s="64"/>
      <c r="BC36" s="67"/>
      <c r="BD36" s="60">
        <f t="shared" si="2"/>
        <v>0</v>
      </c>
      <c r="BE36" s="64"/>
      <c r="BF36" s="67"/>
      <c r="BG36" s="60">
        <f t="shared" si="3"/>
        <v>0</v>
      </c>
      <c r="BH36" s="64">
        <f t="shared" si="38"/>
        <v>0</v>
      </c>
      <c r="BI36" s="67">
        <f t="shared" si="38"/>
        <v>0</v>
      </c>
      <c r="BJ36" s="60">
        <f t="shared" si="4"/>
        <v>0</v>
      </c>
      <c r="BK36" s="64"/>
      <c r="BL36" s="67"/>
      <c r="BM36" s="60">
        <f t="shared" si="5"/>
        <v>0</v>
      </c>
      <c r="BN36" s="64"/>
      <c r="BO36" s="67"/>
      <c r="BP36" s="60">
        <f t="shared" si="6"/>
        <v>0</v>
      </c>
      <c r="BQ36" s="64"/>
      <c r="BR36" s="67"/>
      <c r="BS36" s="60">
        <f t="shared" si="7"/>
        <v>0</v>
      </c>
      <c r="BT36" s="64">
        <f t="shared" si="39"/>
        <v>0</v>
      </c>
      <c r="BU36" s="67">
        <f t="shared" si="39"/>
        <v>0</v>
      </c>
      <c r="BV36" s="60">
        <f t="shared" si="8"/>
        <v>0</v>
      </c>
      <c r="BW36" s="64"/>
      <c r="BX36" s="67"/>
      <c r="BY36" s="60">
        <f t="shared" si="9"/>
        <v>0</v>
      </c>
      <c r="BZ36" s="64"/>
      <c r="CA36" s="67"/>
      <c r="CB36" s="60">
        <f t="shared" si="10"/>
        <v>0</v>
      </c>
      <c r="CC36" s="64"/>
      <c r="CD36" s="67"/>
      <c r="CE36" s="60">
        <f t="shared" si="11"/>
        <v>0</v>
      </c>
      <c r="CF36" s="64">
        <f t="shared" si="40"/>
        <v>0</v>
      </c>
      <c r="CG36" s="67">
        <f t="shared" si="40"/>
        <v>0</v>
      </c>
      <c r="CH36" s="60">
        <f t="shared" si="12"/>
        <v>0</v>
      </c>
      <c r="CI36" s="64"/>
      <c r="CJ36" s="67"/>
      <c r="CK36" s="60">
        <f t="shared" si="13"/>
        <v>0</v>
      </c>
      <c r="CL36" s="64"/>
      <c r="CM36" s="67"/>
      <c r="CN36" s="60">
        <f t="shared" si="14"/>
        <v>0</v>
      </c>
      <c r="CO36" s="64"/>
      <c r="CP36" s="67"/>
      <c r="CQ36" s="60">
        <f t="shared" si="15"/>
        <v>0</v>
      </c>
    </row>
    <row r="37" spans="2:95">
      <c r="B37" s="61" t="s">
        <v>61</v>
      </c>
      <c r="C37" s="64">
        <f t="shared" si="20"/>
        <v>137</v>
      </c>
      <c r="D37" s="67">
        <f t="shared" si="20"/>
        <v>112</v>
      </c>
      <c r="E37" s="60">
        <f t="shared" si="21"/>
        <v>249</v>
      </c>
      <c r="F37" s="64">
        <v>49</v>
      </c>
      <c r="G37" s="67">
        <v>29</v>
      </c>
      <c r="H37" s="60">
        <f t="shared" si="22"/>
        <v>78</v>
      </c>
      <c r="I37" s="64">
        <v>50</v>
      </c>
      <c r="J37" s="67">
        <v>39</v>
      </c>
      <c r="K37" s="60">
        <f t="shared" si="23"/>
        <v>89</v>
      </c>
      <c r="L37" s="64">
        <v>38</v>
      </c>
      <c r="M37" s="67">
        <v>44</v>
      </c>
      <c r="N37" s="60">
        <f t="shared" si="24"/>
        <v>82</v>
      </c>
      <c r="O37" s="64" t="s">
        <v>403</v>
      </c>
      <c r="P37" s="67" t="s">
        <v>96</v>
      </c>
      <c r="Q37" s="69"/>
      <c r="R37" s="64" t="s">
        <v>98</v>
      </c>
      <c r="S37" s="67" t="s">
        <v>98</v>
      </c>
      <c r="T37" s="69"/>
      <c r="U37" s="64" t="s">
        <v>98</v>
      </c>
      <c r="V37" s="67" t="s">
        <v>98</v>
      </c>
      <c r="W37" s="69"/>
      <c r="X37" s="64">
        <f t="shared" si="25"/>
        <v>98</v>
      </c>
      <c r="Y37" s="67">
        <f t="shared" si="26"/>
        <v>130</v>
      </c>
      <c r="Z37" s="60">
        <f t="shared" si="27"/>
        <v>228</v>
      </c>
      <c r="AA37" s="64">
        <f>VLOOKUP($B37,[1]Sheet1!$B$4:$O$55,3,FALSE)</f>
        <v>21</v>
      </c>
      <c r="AB37" s="67">
        <f>VLOOKUP($B37,[1]Sheet1!$B$4:$O$55,4,FALSE)</f>
        <v>20</v>
      </c>
      <c r="AC37" s="60">
        <f t="shared" si="28"/>
        <v>41</v>
      </c>
      <c r="AD37" s="64">
        <f>VLOOKUP($B37,[1]Sheet1!$B$4:$O$55,6,FALSE)</f>
        <v>38</v>
      </c>
      <c r="AE37" s="67">
        <f>VLOOKUP($B37,[1]Sheet1!$B$4:$O$55,7,FALSE)</f>
        <v>46</v>
      </c>
      <c r="AF37" s="60">
        <f t="shared" si="29"/>
        <v>84</v>
      </c>
      <c r="AG37" s="64">
        <f>VLOOKUP($B37,[1]Sheet1!$B$4:$O$55,9,FALSE)</f>
        <v>39</v>
      </c>
      <c r="AH37" s="67">
        <f>VLOOKUP($B37,[1]Sheet1!$B$4:$O$55,10,FALSE)</f>
        <v>64</v>
      </c>
      <c r="AI37" s="60">
        <f t="shared" si="30"/>
        <v>103</v>
      </c>
      <c r="AJ37" s="64">
        <f t="shared" si="31"/>
        <v>45</v>
      </c>
      <c r="AK37" s="67">
        <f t="shared" si="32"/>
        <v>58</v>
      </c>
      <c r="AL37" s="60">
        <f t="shared" si="33"/>
        <v>103</v>
      </c>
      <c r="AM37" s="64">
        <f>VLOOKUP($B37,[1]Sheet2!$B$4:$O$55,3,FALSE)</f>
        <v>11</v>
      </c>
      <c r="AN37" s="67">
        <f>VLOOKUP($B37,[1]Sheet2!$B$4:$O$55,4,FALSE)</f>
        <v>11</v>
      </c>
      <c r="AO37" s="60">
        <f t="shared" si="34"/>
        <v>22</v>
      </c>
      <c r="AP37" s="64">
        <f>VLOOKUP($B37,[1]Sheet2!$B$4:$O$55,6,FALSE)</f>
        <v>17</v>
      </c>
      <c r="AQ37" s="67">
        <f>VLOOKUP($B37,[1]Sheet2!$B$4:$O$55,7,FALSE)</f>
        <v>19</v>
      </c>
      <c r="AR37" s="60">
        <f t="shared" si="35"/>
        <v>36</v>
      </c>
      <c r="AS37" s="64">
        <f>VLOOKUP($B37,[1]Sheet2!$B$4:$O$55,9,FALSE)</f>
        <v>17</v>
      </c>
      <c r="AT37" s="67">
        <f>VLOOKUP($B37,[1]Sheet2!$B$4:$O$55,10,FALSE)</f>
        <v>28</v>
      </c>
      <c r="AU37" s="60">
        <f t="shared" si="36"/>
        <v>45</v>
      </c>
      <c r="AV37" s="64">
        <f t="shared" si="37"/>
        <v>6467</v>
      </c>
      <c r="AW37" s="67">
        <f t="shared" si="37"/>
        <v>9385</v>
      </c>
      <c r="AX37" s="60">
        <f t="shared" si="0"/>
        <v>15852</v>
      </c>
      <c r="AY37" s="64">
        <v>4575</v>
      </c>
      <c r="AZ37" s="67">
        <v>6102</v>
      </c>
      <c r="BA37" s="60">
        <f t="shared" si="1"/>
        <v>10677</v>
      </c>
      <c r="BB37" s="64">
        <v>1426</v>
      </c>
      <c r="BC37" s="67">
        <v>2339</v>
      </c>
      <c r="BD37" s="60">
        <f t="shared" si="2"/>
        <v>3765</v>
      </c>
      <c r="BE37" s="64">
        <v>466</v>
      </c>
      <c r="BF37" s="67">
        <v>944</v>
      </c>
      <c r="BG37" s="60">
        <f t="shared" si="3"/>
        <v>1410</v>
      </c>
      <c r="BH37" s="64">
        <f t="shared" si="38"/>
        <v>397</v>
      </c>
      <c r="BI37" s="67">
        <f t="shared" si="38"/>
        <v>523</v>
      </c>
      <c r="BJ37" s="60">
        <f t="shared" si="4"/>
        <v>920</v>
      </c>
      <c r="BK37" s="64">
        <v>205</v>
      </c>
      <c r="BL37" s="67">
        <v>219</v>
      </c>
      <c r="BM37" s="60">
        <f t="shared" si="5"/>
        <v>424</v>
      </c>
      <c r="BN37" s="64">
        <v>131</v>
      </c>
      <c r="BO37" s="67">
        <v>181</v>
      </c>
      <c r="BP37" s="60">
        <f t="shared" si="6"/>
        <v>312</v>
      </c>
      <c r="BQ37" s="64">
        <v>61</v>
      </c>
      <c r="BR37" s="67">
        <v>123</v>
      </c>
      <c r="BS37" s="60">
        <f t="shared" si="7"/>
        <v>184</v>
      </c>
      <c r="BT37" s="64">
        <f t="shared" si="39"/>
        <v>195</v>
      </c>
      <c r="BU37" s="67">
        <f t="shared" si="39"/>
        <v>277</v>
      </c>
      <c r="BV37" s="60">
        <f t="shared" si="8"/>
        <v>472</v>
      </c>
      <c r="BW37" s="64">
        <v>136</v>
      </c>
      <c r="BX37" s="67">
        <v>171</v>
      </c>
      <c r="BY37" s="60">
        <f t="shared" si="9"/>
        <v>307</v>
      </c>
      <c r="BZ37" s="64">
        <v>41</v>
      </c>
      <c r="CA37" s="67">
        <v>61</v>
      </c>
      <c r="CB37" s="60">
        <f t="shared" si="10"/>
        <v>102</v>
      </c>
      <c r="CC37" s="64">
        <v>18</v>
      </c>
      <c r="CD37" s="67">
        <v>45</v>
      </c>
      <c r="CE37" s="60">
        <f t="shared" si="11"/>
        <v>63</v>
      </c>
      <c r="CF37" s="64">
        <f t="shared" si="40"/>
        <v>0</v>
      </c>
      <c r="CG37" s="67">
        <f t="shared" si="40"/>
        <v>0</v>
      </c>
      <c r="CH37" s="60">
        <f t="shared" si="12"/>
        <v>0</v>
      </c>
      <c r="CI37" s="64">
        <v>0</v>
      </c>
      <c r="CJ37" s="67">
        <v>0</v>
      </c>
      <c r="CK37" s="60">
        <f t="shared" si="13"/>
        <v>0</v>
      </c>
      <c r="CL37" s="64">
        <v>0</v>
      </c>
      <c r="CM37" s="67">
        <v>0</v>
      </c>
      <c r="CN37" s="60">
        <f t="shared" si="14"/>
        <v>0</v>
      </c>
      <c r="CO37" s="64">
        <v>0</v>
      </c>
      <c r="CP37" s="67">
        <v>0</v>
      </c>
      <c r="CQ37" s="60">
        <f t="shared" si="15"/>
        <v>0</v>
      </c>
    </row>
    <row r="38" spans="2:95">
      <c r="B38" s="61" t="s">
        <v>60</v>
      </c>
      <c r="C38" s="64">
        <f t="shared" si="20"/>
        <v>122</v>
      </c>
      <c r="D38" s="67">
        <f t="shared" si="20"/>
        <v>127</v>
      </c>
      <c r="E38" s="60">
        <f t="shared" si="21"/>
        <v>249</v>
      </c>
      <c r="F38" s="64">
        <v>35</v>
      </c>
      <c r="G38" s="67">
        <v>27</v>
      </c>
      <c r="H38" s="60">
        <f t="shared" si="22"/>
        <v>62</v>
      </c>
      <c r="I38" s="64">
        <v>41</v>
      </c>
      <c r="J38" s="67">
        <v>37</v>
      </c>
      <c r="K38" s="60">
        <f t="shared" si="23"/>
        <v>78</v>
      </c>
      <c r="L38" s="64">
        <v>46</v>
      </c>
      <c r="M38" s="67">
        <v>63</v>
      </c>
      <c r="N38" s="60">
        <f t="shared" si="24"/>
        <v>109</v>
      </c>
      <c r="O38" s="64" t="s">
        <v>97</v>
      </c>
      <c r="P38" s="67" t="s">
        <v>404</v>
      </c>
      <c r="Q38" s="69"/>
      <c r="R38" s="64" t="s">
        <v>98</v>
      </c>
      <c r="S38" s="67" t="s">
        <v>98</v>
      </c>
      <c r="T38" s="69"/>
      <c r="U38" s="64" t="s">
        <v>98</v>
      </c>
      <c r="V38" s="67" t="s">
        <v>98</v>
      </c>
      <c r="W38" s="69"/>
      <c r="X38" s="64">
        <f t="shared" si="25"/>
        <v>57</v>
      </c>
      <c r="Y38" s="67">
        <f t="shared" si="26"/>
        <v>134</v>
      </c>
      <c r="Z38" s="60">
        <f t="shared" si="27"/>
        <v>191</v>
      </c>
      <c r="AA38" s="64">
        <f>VLOOKUP($B38,[1]Sheet1!$B$4:$O$55,3,FALSE)</f>
        <v>17</v>
      </c>
      <c r="AB38" s="67">
        <f>VLOOKUP($B38,[1]Sheet1!$B$4:$O$55,4,FALSE)</f>
        <v>23</v>
      </c>
      <c r="AC38" s="60">
        <f t="shared" si="28"/>
        <v>40</v>
      </c>
      <c r="AD38" s="64">
        <f>VLOOKUP($B38,[1]Sheet1!$B$4:$O$55,6,FALSE)</f>
        <v>23</v>
      </c>
      <c r="AE38" s="67">
        <f>VLOOKUP($B38,[1]Sheet1!$B$4:$O$55,7,FALSE)</f>
        <v>28</v>
      </c>
      <c r="AF38" s="60">
        <f t="shared" si="29"/>
        <v>51</v>
      </c>
      <c r="AG38" s="64">
        <f>VLOOKUP($B38,[1]Sheet1!$B$4:$O$55,9,FALSE)</f>
        <v>17</v>
      </c>
      <c r="AH38" s="67">
        <f>VLOOKUP($B38,[1]Sheet1!$B$4:$O$55,10,FALSE)</f>
        <v>83</v>
      </c>
      <c r="AI38" s="60">
        <f t="shared" si="30"/>
        <v>100</v>
      </c>
      <c r="AJ38" s="64">
        <f t="shared" si="31"/>
        <v>17</v>
      </c>
      <c r="AK38" s="67">
        <f t="shared" si="32"/>
        <v>42</v>
      </c>
      <c r="AL38" s="60">
        <f t="shared" si="33"/>
        <v>59</v>
      </c>
      <c r="AM38" s="64">
        <f>VLOOKUP($B38,[1]Sheet2!$B$4:$O$55,3,FALSE)</f>
        <v>6</v>
      </c>
      <c r="AN38" s="67">
        <f>VLOOKUP($B38,[1]Sheet2!$B$4:$O$55,4,FALSE)</f>
        <v>4</v>
      </c>
      <c r="AO38" s="60">
        <f t="shared" si="34"/>
        <v>10</v>
      </c>
      <c r="AP38" s="64">
        <f>VLOOKUP($B38,[1]Sheet2!$B$4:$O$55,6,FALSE)</f>
        <v>7</v>
      </c>
      <c r="AQ38" s="67">
        <f>VLOOKUP($B38,[1]Sheet2!$B$4:$O$55,7,FALSE)</f>
        <v>13</v>
      </c>
      <c r="AR38" s="60">
        <f t="shared" si="35"/>
        <v>20</v>
      </c>
      <c r="AS38" s="64">
        <f>VLOOKUP($B38,[1]Sheet2!$B$4:$O$55,9,FALSE)</f>
        <v>4</v>
      </c>
      <c r="AT38" s="67">
        <f>VLOOKUP($B38,[1]Sheet2!$B$4:$O$55,10,FALSE)</f>
        <v>25</v>
      </c>
      <c r="AU38" s="60">
        <f t="shared" si="36"/>
        <v>29</v>
      </c>
      <c r="AV38" s="64">
        <f t="shared" si="37"/>
        <v>6898</v>
      </c>
      <c r="AW38" s="67">
        <f t="shared" si="37"/>
        <v>9318</v>
      </c>
      <c r="AX38" s="60">
        <f t="shared" si="0"/>
        <v>16216</v>
      </c>
      <c r="AY38" s="64">
        <v>4576</v>
      </c>
      <c r="AZ38" s="67">
        <v>5881</v>
      </c>
      <c r="BA38" s="60">
        <f t="shared" si="1"/>
        <v>10457</v>
      </c>
      <c r="BB38" s="64">
        <v>1763</v>
      </c>
      <c r="BC38" s="67">
        <v>2473</v>
      </c>
      <c r="BD38" s="60">
        <f t="shared" si="2"/>
        <v>4236</v>
      </c>
      <c r="BE38" s="64">
        <v>559</v>
      </c>
      <c r="BF38" s="67">
        <v>964</v>
      </c>
      <c r="BG38" s="60">
        <f t="shared" si="3"/>
        <v>1523</v>
      </c>
      <c r="BH38" s="64">
        <f t="shared" si="38"/>
        <v>1062</v>
      </c>
      <c r="BI38" s="67">
        <f t="shared" si="38"/>
        <v>1113</v>
      </c>
      <c r="BJ38" s="60">
        <f t="shared" si="4"/>
        <v>2175</v>
      </c>
      <c r="BK38" s="64">
        <v>330</v>
      </c>
      <c r="BL38" s="67">
        <v>334</v>
      </c>
      <c r="BM38" s="60">
        <f t="shared" si="5"/>
        <v>664</v>
      </c>
      <c r="BN38" s="64">
        <v>464</v>
      </c>
      <c r="BO38" s="67">
        <v>483</v>
      </c>
      <c r="BP38" s="60">
        <f t="shared" si="6"/>
        <v>947</v>
      </c>
      <c r="BQ38" s="64">
        <v>268</v>
      </c>
      <c r="BR38" s="67">
        <v>296</v>
      </c>
      <c r="BS38" s="60">
        <f t="shared" si="7"/>
        <v>564</v>
      </c>
      <c r="BT38" s="64">
        <f t="shared" si="39"/>
        <v>0</v>
      </c>
      <c r="BU38" s="67">
        <f t="shared" si="39"/>
        <v>0</v>
      </c>
      <c r="BV38" s="60">
        <f t="shared" si="8"/>
        <v>0</v>
      </c>
      <c r="BW38" s="64"/>
      <c r="BX38" s="67"/>
      <c r="BY38" s="60">
        <f t="shared" si="9"/>
        <v>0</v>
      </c>
      <c r="BZ38" s="64"/>
      <c r="CA38" s="67"/>
      <c r="CB38" s="60">
        <f t="shared" si="10"/>
        <v>0</v>
      </c>
      <c r="CC38" s="64"/>
      <c r="CD38" s="67"/>
      <c r="CE38" s="60">
        <f t="shared" si="11"/>
        <v>0</v>
      </c>
      <c r="CF38" s="64">
        <f t="shared" si="40"/>
        <v>0</v>
      </c>
      <c r="CG38" s="67">
        <f t="shared" si="40"/>
        <v>0</v>
      </c>
      <c r="CH38" s="60">
        <f t="shared" si="12"/>
        <v>0</v>
      </c>
      <c r="CI38" s="64"/>
      <c r="CJ38" s="67"/>
      <c r="CK38" s="60">
        <f t="shared" si="13"/>
        <v>0</v>
      </c>
      <c r="CL38" s="64"/>
      <c r="CM38" s="67"/>
      <c r="CN38" s="60">
        <f t="shared" si="14"/>
        <v>0</v>
      </c>
      <c r="CO38" s="64"/>
      <c r="CP38" s="67"/>
      <c r="CQ38" s="60">
        <f t="shared" si="15"/>
        <v>0</v>
      </c>
    </row>
    <row r="39" spans="2:95">
      <c r="B39" s="61" t="s">
        <v>59</v>
      </c>
      <c r="C39" s="64">
        <f t="shared" si="20"/>
        <v>132</v>
      </c>
      <c r="D39" s="67">
        <f t="shared" si="20"/>
        <v>166</v>
      </c>
      <c r="E39" s="60">
        <f t="shared" si="21"/>
        <v>298</v>
      </c>
      <c r="F39" s="64">
        <v>56</v>
      </c>
      <c r="G39" s="67">
        <v>62</v>
      </c>
      <c r="H39" s="60">
        <f t="shared" si="22"/>
        <v>118</v>
      </c>
      <c r="I39" s="64">
        <v>47</v>
      </c>
      <c r="J39" s="67">
        <v>46</v>
      </c>
      <c r="K39" s="60">
        <f t="shared" si="23"/>
        <v>93</v>
      </c>
      <c r="L39" s="64">
        <v>29</v>
      </c>
      <c r="M39" s="67">
        <v>58</v>
      </c>
      <c r="N39" s="60">
        <f t="shared" si="24"/>
        <v>87</v>
      </c>
      <c r="O39" s="64" t="s">
        <v>405</v>
      </c>
      <c r="P39" s="67" t="s">
        <v>405</v>
      </c>
      <c r="Q39" s="69"/>
      <c r="R39" s="64" t="s">
        <v>98</v>
      </c>
      <c r="S39" s="67" t="s">
        <v>98</v>
      </c>
      <c r="T39" s="69"/>
      <c r="U39" s="64" t="s">
        <v>98</v>
      </c>
      <c r="V39" s="67" t="s">
        <v>98</v>
      </c>
      <c r="W39" s="69"/>
      <c r="X39" s="64">
        <f t="shared" si="25"/>
        <v>74</v>
      </c>
      <c r="Y39" s="67">
        <f t="shared" si="26"/>
        <v>162</v>
      </c>
      <c r="Z39" s="60">
        <f t="shared" si="27"/>
        <v>236</v>
      </c>
      <c r="AA39" s="64">
        <f>VLOOKUP($B39,[1]Sheet1!$B$4:$O$55,3,FALSE)</f>
        <v>12</v>
      </c>
      <c r="AB39" s="67">
        <f>VLOOKUP($B39,[1]Sheet1!$B$4:$O$55,4,FALSE)</f>
        <v>41</v>
      </c>
      <c r="AC39" s="60">
        <f t="shared" si="28"/>
        <v>53</v>
      </c>
      <c r="AD39" s="64">
        <f>VLOOKUP($B39,[1]Sheet1!$B$4:$O$55,6,FALSE)</f>
        <v>39</v>
      </c>
      <c r="AE39" s="67">
        <f>VLOOKUP($B39,[1]Sheet1!$B$4:$O$55,7,FALSE)</f>
        <v>63</v>
      </c>
      <c r="AF39" s="60">
        <f t="shared" si="29"/>
        <v>102</v>
      </c>
      <c r="AG39" s="64">
        <f>VLOOKUP($B39,[1]Sheet1!$B$4:$O$55,9,FALSE)</f>
        <v>23</v>
      </c>
      <c r="AH39" s="67">
        <f>VLOOKUP($B39,[1]Sheet1!$B$4:$O$55,10,FALSE)</f>
        <v>58</v>
      </c>
      <c r="AI39" s="60">
        <f t="shared" si="30"/>
        <v>81</v>
      </c>
      <c r="AJ39" s="64">
        <f t="shared" si="31"/>
        <v>20</v>
      </c>
      <c r="AK39" s="67">
        <f t="shared" si="32"/>
        <v>73</v>
      </c>
      <c r="AL39" s="60">
        <f t="shared" si="33"/>
        <v>93</v>
      </c>
      <c r="AM39" s="64">
        <f>VLOOKUP($B39,[1]Sheet2!$B$4:$O$55,3,FALSE)</f>
        <v>1</v>
      </c>
      <c r="AN39" s="67">
        <f>VLOOKUP($B39,[1]Sheet2!$B$4:$O$55,4,FALSE)</f>
        <v>26</v>
      </c>
      <c r="AO39" s="60">
        <f t="shared" si="34"/>
        <v>27</v>
      </c>
      <c r="AP39" s="64">
        <f>VLOOKUP($B39,[1]Sheet2!$B$4:$O$55,6,FALSE)</f>
        <v>12</v>
      </c>
      <c r="AQ39" s="67">
        <f>VLOOKUP($B39,[1]Sheet2!$B$4:$O$55,7,FALSE)</f>
        <v>28</v>
      </c>
      <c r="AR39" s="60">
        <f t="shared" si="35"/>
        <v>40</v>
      </c>
      <c r="AS39" s="64">
        <f>VLOOKUP($B39,[1]Sheet2!$B$4:$O$55,9,FALSE)</f>
        <v>7</v>
      </c>
      <c r="AT39" s="67">
        <f>VLOOKUP($B39,[1]Sheet2!$B$4:$O$55,10,FALSE)</f>
        <v>19</v>
      </c>
      <c r="AU39" s="60">
        <f t="shared" si="36"/>
        <v>26</v>
      </c>
      <c r="AV39" s="64">
        <f t="shared" si="37"/>
        <v>7491</v>
      </c>
      <c r="AW39" s="67">
        <f t="shared" si="37"/>
        <v>10995</v>
      </c>
      <c r="AX39" s="60">
        <f t="shared" si="0"/>
        <v>18486</v>
      </c>
      <c r="AY39" s="64">
        <v>5286</v>
      </c>
      <c r="AZ39" s="67">
        <v>7031</v>
      </c>
      <c r="BA39" s="60">
        <f t="shared" si="1"/>
        <v>12317</v>
      </c>
      <c r="BB39" s="64">
        <v>1735</v>
      </c>
      <c r="BC39" s="67">
        <v>2789</v>
      </c>
      <c r="BD39" s="60">
        <f t="shared" si="2"/>
        <v>4524</v>
      </c>
      <c r="BE39" s="64">
        <v>470</v>
      </c>
      <c r="BF39" s="67">
        <v>1175</v>
      </c>
      <c r="BG39" s="60">
        <f t="shared" si="3"/>
        <v>1645</v>
      </c>
      <c r="BH39" s="64">
        <f t="shared" si="38"/>
        <v>277</v>
      </c>
      <c r="BI39" s="67">
        <f t="shared" si="38"/>
        <v>629</v>
      </c>
      <c r="BJ39" s="60">
        <f t="shared" si="4"/>
        <v>906</v>
      </c>
      <c r="BK39" s="64">
        <v>147</v>
      </c>
      <c r="BL39" s="67">
        <v>259</v>
      </c>
      <c r="BM39" s="60">
        <f t="shared" si="5"/>
        <v>406</v>
      </c>
      <c r="BN39" s="64">
        <v>84</v>
      </c>
      <c r="BO39" s="67">
        <v>211</v>
      </c>
      <c r="BP39" s="60">
        <f t="shared" si="6"/>
        <v>295</v>
      </c>
      <c r="BQ39" s="64">
        <v>46</v>
      </c>
      <c r="BR39" s="67">
        <v>159</v>
      </c>
      <c r="BS39" s="60">
        <f t="shared" si="7"/>
        <v>205</v>
      </c>
      <c r="BT39" s="64">
        <f t="shared" si="39"/>
        <v>2613</v>
      </c>
      <c r="BU39" s="67">
        <f t="shared" si="39"/>
        <v>4123</v>
      </c>
      <c r="BV39" s="60">
        <f t="shared" si="8"/>
        <v>6736</v>
      </c>
      <c r="BW39" s="64">
        <v>1637</v>
      </c>
      <c r="BX39" s="67">
        <v>2631</v>
      </c>
      <c r="BY39" s="60">
        <f t="shared" si="9"/>
        <v>4268</v>
      </c>
      <c r="BZ39" s="64">
        <v>781</v>
      </c>
      <c r="CA39" s="67">
        <v>1130</v>
      </c>
      <c r="CB39" s="60">
        <f t="shared" si="10"/>
        <v>1911</v>
      </c>
      <c r="CC39" s="64">
        <v>195</v>
      </c>
      <c r="CD39" s="67">
        <v>362</v>
      </c>
      <c r="CE39" s="60">
        <f t="shared" si="11"/>
        <v>557</v>
      </c>
      <c r="CF39" s="64">
        <f t="shared" si="40"/>
        <v>6</v>
      </c>
      <c r="CG39" s="67">
        <f t="shared" si="40"/>
        <v>11</v>
      </c>
      <c r="CH39" s="60">
        <f t="shared" si="12"/>
        <v>17</v>
      </c>
      <c r="CI39" s="64">
        <v>3</v>
      </c>
      <c r="CJ39" s="67">
        <v>3</v>
      </c>
      <c r="CK39" s="60">
        <f t="shared" si="13"/>
        <v>6</v>
      </c>
      <c r="CL39" s="64">
        <v>3</v>
      </c>
      <c r="CM39" s="67">
        <v>7</v>
      </c>
      <c r="CN39" s="60">
        <f t="shared" si="14"/>
        <v>10</v>
      </c>
      <c r="CO39" s="64">
        <v>0</v>
      </c>
      <c r="CP39" s="67">
        <v>1</v>
      </c>
      <c r="CQ39" s="60">
        <f t="shared" si="15"/>
        <v>1</v>
      </c>
    </row>
    <row r="40" spans="2:95">
      <c r="B40" s="61" t="s">
        <v>58</v>
      </c>
      <c r="C40" s="64">
        <f t="shared" si="20"/>
        <v>262</v>
      </c>
      <c r="D40" s="67">
        <f t="shared" si="20"/>
        <v>265</v>
      </c>
      <c r="E40" s="60">
        <f t="shared" si="21"/>
        <v>527</v>
      </c>
      <c r="F40" s="64">
        <v>78</v>
      </c>
      <c r="G40" s="67">
        <v>60</v>
      </c>
      <c r="H40" s="60">
        <f t="shared" si="22"/>
        <v>138</v>
      </c>
      <c r="I40" s="64">
        <v>98</v>
      </c>
      <c r="J40" s="67">
        <v>68</v>
      </c>
      <c r="K40" s="60">
        <f t="shared" si="23"/>
        <v>166</v>
      </c>
      <c r="L40" s="64">
        <v>86</v>
      </c>
      <c r="M40" s="67">
        <v>137</v>
      </c>
      <c r="N40" s="60">
        <f t="shared" si="24"/>
        <v>223</v>
      </c>
      <c r="O40" s="64"/>
      <c r="P40" s="67"/>
      <c r="Q40" s="69"/>
      <c r="R40" s="64"/>
      <c r="S40" s="67"/>
      <c r="T40" s="69"/>
      <c r="U40" s="64"/>
      <c r="V40" s="67"/>
      <c r="W40" s="69"/>
      <c r="X40" s="64">
        <f t="shared" si="25"/>
        <v>106</v>
      </c>
      <c r="Y40" s="67">
        <f t="shared" si="26"/>
        <v>165</v>
      </c>
      <c r="Z40" s="60">
        <f t="shared" si="27"/>
        <v>271</v>
      </c>
      <c r="AA40" s="64">
        <f>VLOOKUP($B40,[1]Sheet1!$B$4:$O$55,3,FALSE)</f>
        <v>23</v>
      </c>
      <c r="AB40" s="67">
        <f>VLOOKUP($B40,[1]Sheet1!$B$4:$O$55,4,FALSE)</f>
        <v>31</v>
      </c>
      <c r="AC40" s="60">
        <f t="shared" si="28"/>
        <v>54</v>
      </c>
      <c r="AD40" s="64">
        <f>VLOOKUP($B40,[1]Sheet1!$B$4:$O$55,6,FALSE)</f>
        <v>40</v>
      </c>
      <c r="AE40" s="67">
        <f>VLOOKUP($B40,[1]Sheet1!$B$4:$O$55,7,FALSE)</f>
        <v>59</v>
      </c>
      <c r="AF40" s="60">
        <f t="shared" si="29"/>
        <v>99</v>
      </c>
      <c r="AG40" s="64">
        <f>VLOOKUP($B40,[1]Sheet1!$B$4:$O$55,9,FALSE)</f>
        <v>43</v>
      </c>
      <c r="AH40" s="67">
        <f>VLOOKUP($B40,[1]Sheet1!$B$4:$O$55,10,FALSE)</f>
        <v>75</v>
      </c>
      <c r="AI40" s="60">
        <f t="shared" si="30"/>
        <v>118</v>
      </c>
      <c r="AJ40" s="64">
        <f t="shared" si="31"/>
        <v>20</v>
      </c>
      <c r="AK40" s="67">
        <f t="shared" si="32"/>
        <v>32</v>
      </c>
      <c r="AL40" s="60">
        <f t="shared" si="33"/>
        <v>52</v>
      </c>
      <c r="AM40" s="64">
        <f>VLOOKUP($B40,[1]Sheet2!$B$4:$O$55,3,FALSE)</f>
        <v>2</v>
      </c>
      <c r="AN40" s="67">
        <f>VLOOKUP($B40,[1]Sheet2!$B$4:$O$55,4,FALSE)</f>
        <v>8</v>
      </c>
      <c r="AO40" s="60">
        <f t="shared" si="34"/>
        <v>10</v>
      </c>
      <c r="AP40" s="64">
        <f>VLOOKUP($B40,[1]Sheet2!$B$4:$O$55,6,FALSE)</f>
        <v>8</v>
      </c>
      <c r="AQ40" s="67">
        <f>VLOOKUP($B40,[1]Sheet2!$B$4:$O$55,7,FALSE)</f>
        <v>13</v>
      </c>
      <c r="AR40" s="60">
        <f t="shared" si="35"/>
        <v>21</v>
      </c>
      <c r="AS40" s="64">
        <f>VLOOKUP($B40,[1]Sheet2!$B$4:$O$55,9,FALSE)</f>
        <v>10</v>
      </c>
      <c r="AT40" s="67">
        <f>VLOOKUP($B40,[1]Sheet2!$B$4:$O$55,10,FALSE)</f>
        <v>11</v>
      </c>
      <c r="AU40" s="60">
        <f t="shared" si="36"/>
        <v>21</v>
      </c>
      <c r="AV40" s="64">
        <f t="shared" si="37"/>
        <v>0</v>
      </c>
      <c r="AW40" s="67">
        <f t="shared" si="37"/>
        <v>0</v>
      </c>
      <c r="AX40" s="60">
        <f t="shared" si="0"/>
        <v>0</v>
      </c>
      <c r="AY40" s="64"/>
      <c r="AZ40" s="67"/>
      <c r="BA40" s="60">
        <f t="shared" si="1"/>
        <v>0</v>
      </c>
      <c r="BB40" s="64"/>
      <c r="BC40" s="67"/>
      <c r="BD40" s="60">
        <f t="shared" si="2"/>
        <v>0</v>
      </c>
      <c r="BE40" s="64"/>
      <c r="BF40" s="67"/>
      <c r="BG40" s="60">
        <f t="shared" si="3"/>
        <v>0</v>
      </c>
      <c r="BH40" s="64">
        <f t="shared" si="38"/>
        <v>0</v>
      </c>
      <c r="BI40" s="67">
        <f t="shared" si="38"/>
        <v>0</v>
      </c>
      <c r="BJ40" s="60">
        <f t="shared" si="4"/>
        <v>0</v>
      </c>
      <c r="BK40" s="64"/>
      <c r="BL40" s="67"/>
      <c r="BM40" s="60">
        <f t="shared" si="5"/>
        <v>0</v>
      </c>
      <c r="BN40" s="64"/>
      <c r="BO40" s="67"/>
      <c r="BP40" s="60">
        <f t="shared" si="6"/>
        <v>0</v>
      </c>
      <c r="BQ40" s="64"/>
      <c r="BR40" s="67"/>
      <c r="BS40" s="60">
        <f t="shared" si="7"/>
        <v>0</v>
      </c>
      <c r="BT40" s="64">
        <f t="shared" si="39"/>
        <v>142</v>
      </c>
      <c r="BU40" s="67">
        <f t="shared" si="39"/>
        <v>203</v>
      </c>
      <c r="BV40" s="60">
        <f t="shared" si="8"/>
        <v>345</v>
      </c>
      <c r="BW40" s="64">
        <v>93</v>
      </c>
      <c r="BX40" s="67">
        <v>113</v>
      </c>
      <c r="BY40" s="60">
        <f t="shared" si="9"/>
        <v>206</v>
      </c>
      <c r="BZ40" s="64">
        <v>34</v>
      </c>
      <c r="CA40" s="67">
        <v>47</v>
      </c>
      <c r="CB40" s="60">
        <f t="shared" si="10"/>
        <v>81</v>
      </c>
      <c r="CC40" s="64">
        <v>15</v>
      </c>
      <c r="CD40" s="67">
        <v>43</v>
      </c>
      <c r="CE40" s="60">
        <f t="shared" si="11"/>
        <v>58</v>
      </c>
      <c r="CF40" s="64">
        <f t="shared" si="40"/>
        <v>0</v>
      </c>
      <c r="CG40" s="67">
        <f t="shared" si="40"/>
        <v>0</v>
      </c>
      <c r="CH40" s="60">
        <f t="shared" si="12"/>
        <v>0</v>
      </c>
      <c r="CI40" s="64"/>
      <c r="CJ40" s="67"/>
      <c r="CK40" s="60">
        <f t="shared" si="13"/>
        <v>0</v>
      </c>
      <c r="CL40" s="64"/>
      <c r="CM40" s="67"/>
      <c r="CN40" s="60">
        <f t="shared" si="14"/>
        <v>0</v>
      </c>
      <c r="CO40" s="64"/>
      <c r="CP40" s="67"/>
      <c r="CQ40" s="60">
        <f t="shared" si="15"/>
        <v>0</v>
      </c>
    </row>
    <row r="41" spans="2:95">
      <c r="B41" s="61" t="s">
        <v>57</v>
      </c>
      <c r="C41" s="64">
        <f t="shared" si="20"/>
        <v>269</v>
      </c>
      <c r="D41" s="67">
        <f t="shared" si="20"/>
        <v>275</v>
      </c>
      <c r="E41" s="60">
        <f t="shared" si="21"/>
        <v>544</v>
      </c>
      <c r="F41" s="64">
        <v>68</v>
      </c>
      <c r="G41" s="67">
        <v>46</v>
      </c>
      <c r="H41" s="60">
        <f t="shared" si="22"/>
        <v>114</v>
      </c>
      <c r="I41" s="64">
        <v>97</v>
      </c>
      <c r="J41" s="67">
        <v>74</v>
      </c>
      <c r="K41" s="60">
        <f t="shared" si="23"/>
        <v>171</v>
      </c>
      <c r="L41" s="64">
        <v>104</v>
      </c>
      <c r="M41" s="67">
        <v>155</v>
      </c>
      <c r="N41" s="60">
        <f t="shared" si="24"/>
        <v>259</v>
      </c>
      <c r="O41" s="64"/>
      <c r="P41" s="67"/>
      <c r="Q41" s="69"/>
      <c r="R41" s="64"/>
      <c r="S41" s="67"/>
      <c r="T41" s="69"/>
      <c r="U41" s="64"/>
      <c r="V41" s="67"/>
      <c r="W41" s="69"/>
      <c r="X41" s="64">
        <f t="shared" si="25"/>
        <v>147</v>
      </c>
      <c r="Y41" s="67">
        <f t="shared" si="26"/>
        <v>221</v>
      </c>
      <c r="Z41" s="60">
        <f t="shared" si="27"/>
        <v>368</v>
      </c>
      <c r="AA41" s="64">
        <f>VLOOKUP($B41,[1]Sheet1!$B$4:$O$55,3,FALSE)</f>
        <v>35</v>
      </c>
      <c r="AB41" s="67">
        <f>VLOOKUP($B41,[1]Sheet1!$B$4:$O$55,4,FALSE)</f>
        <v>34</v>
      </c>
      <c r="AC41" s="60">
        <f t="shared" si="28"/>
        <v>69</v>
      </c>
      <c r="AD41" s="64">
        <f>VLOOKUP($B41,[1]Sheet1!$B$4:$O$55,6,FALSE)</f>
        <v>49</v>
      </c>
      <c r="AE41" s="67">
        <f>VLOOKUP($B41,[1]Sheet1!$B$4:$O$55,7,FALSE)</f>
        <v>49</v>
      </c>
      <c r="AF41" s="60">
        <f t="shared" si="29"/>
        <v>98</v>
      </c>
      <c r="AG41" s="64">
        <f>VLOOKUP($B41,[1]Sheet1!$B$4:$O$55,9,FALSE)</f>
        <v>63</v>
      </c>
      <c r="AH41" s="67">
        <f>VLOOKUP($B41,[1]Sheet1!$B$4:$O$55,10,FALSE)</f>
        <v>138</v>
      </c>
      <c r="AI41" s="60">
        <f t="shared" si="30"/>
        <v>201</v>
      </c>
      <c r="AJ41" s="64">
        <f t="shared" si="31"/>
        <v>57</v>
      </c>
      <c r="AK41" s="67">
        <f t="shared" si="32"/>
        <v>84</v>
      </c>
      <c r="AL41" s="60">
        <f t="shared" si="33"/>
        <v>141</v>
      </c>
      <c r="AM41" s="64">
        <f>VLOOKUP($B41,[1]Sheet2!$B$4:$O$55,3,FALSE)</f>
        <v>15</v>
      </c>
      <c r="AN41" s="67">
        <f>VLOOKUP($B41,[1]Sheet2!$B$4:$O$55,4,FALSE)</f>
        <v>9</v>
      </c>
      <c r="AO41" s="60">
        <f t="shared" si="34"/>
        <v>24</v>
      </c>
      <c r="AP41" s="64">
        <f>VLOOKUP($B41,[1]Sheet2!$B$4:$O$55,6,FALSE)</f>
        <v>19</v>
      </c>
      <c r="AQ41" s="67">
        <f>VLOOKUP($B41,[1]Sheet2!$B$4:$O$55,7,FALSE)</f>
        <v>18</v>
      </c>
      <c r="AR41" s="60">
        <f t="shared" si="35"/>
        <v>37</v>
      </c>
      <c r="AS41" s="64">
        <f>VLOOKUP($B41,[1]Sheet2!$B$4:$O$55,9,FALSE)</f>
        <v>23</v>
      </c>
      <c r="AT41" s="67">
        <f>VLOOKUP($B41,[1]Sheet2!$B$4:$O$55,10,FALSE)</f>
        <v>57</v>
      </c>
      <c r="AU41" s="60">
        <f t="shared" si="36"/>
        <v>80</v>
      </c>
      <c r="AV41" s="64">
        <f t="shared" si="37"/>
        <v>18862</v>
      </c>
      <c r="AW41" s="67">
        <f t="shared" si="37"/>
        <v>0</v>
      </c>
      <c r="AX41" s="60">
        <f t="shared" si="0"/>
        <v>18862</v>
      </c>
      <c r="AY41" s="64">
        <v>11255</v>
      </c>
      <c r="AZ41" s="67"/>
      <c r="BA41" s="60">
        <f t="shared" si="1"/>
        <v>11255</v>
      </c>
      <c r="BB41" s="64">
        <v>5181</v>
      </c>
      <c r="BC41" s="67"/>
      <c r="BD41" s="60">
        <f t="shared" si="2"/>
        <v>5181</v>
      </c>
      <c r="BE41" s="64">
        <v>2426</v>
      </c>
      <c r="BF41" s="67"/>
      <c r="BG41" s="60">
        <f t="shared" si="3"/>
        <v>2426</v>
      </c>
      <c r="BH41" s="64">
        <f t="shared" si="38"/>
        <v>0</v>
      </c>
      <c r="BI41" s="67">
        <f t="shared" si="38"/>
        <v>0</v>
      </c>
      <c r="BJ41" s="60">
        <f t="shared" si="4"/>
        <v>0</v>
      </c>
      <c r="BK41" s="64"/>
      <c r="BL41" s="67"/>
      <c r="BM41" s="60">
        <f t="shared" si="5"/>
        <v>0</v>
      </c>
      <c r="BN41" s="64"/>
      <c r="BO41" s="67"/>
      <c r="BP41" s="60">
        <f t="shared" si="6"/>
        <v>0</v>
      </c>
      <c r="BQ41" s="64"/>
      <c r="BR41" s="67"/>
      <c r="BS41" s="60">
        <f t="shared" si="7"/>
        <v>0</v>
      </c>
      <c r="BT41" s="64">
        <f t="shared" si="39"/>
        <v>0</v>
      </c>
      <c r="BU41" s="67">
        <f t="shared" si="39"/>
        <v>0</v>
      </c>
      <c r="BV41" s="60">
        <f t="shared" si="8"/>
        <v>0</v>
      </c>
      <c r="BW41" s="64"/>
      <c r="BX41" s="67"/>
      <c r="BY41" s="60">
        <f t="shared" si="9"/>
        <v>0</v>
      </c>
      <c r="BZ41" s="64"/>
      <c r="CA41" s="67"/>
      <c r="CB41" s="60">
        <f t="shared" si="10"/>
        <v>0</v>
      </c>
      <c r="CC41" s="64"/>
      <c r="CD41" s="67"/>
      <c r="CE41" s="60">
        <f t="shared" si="11"/>
        <v>0</v>
      </c>
      <c r="CF41" s="64">
        <f t="shared" si="40"/>
        <v>0</v>
      </c>
      <c r="CG41" s="67">
        <f t="shared" si="40"/>
        <v>0</v>
      </c>
      <c r="CH41" s="60">
        <f t="shared" si="12"/>
        <v>0</v>
      </c>
      <c r="CI41" s="64"/>
      <c r="CJ41" s="67"/>
      <c r="CK41" s="60">
        <f t="shared" si="13"/>
        <v>0</v>
      </c>
      <c r="CL41" s="64"/>
      <c r="CM41" s="67"/>
      <c r="CN41" s="60">
        <f t="shared" si="14"/>
        <v>0</v>
      </c>
      <c r="CO41" s="64"/>
      <c r="CP41" s="67"/>
      <c r="CQ41" s="60">
        <f t="shared" si="15"/>
        <v>0</v>
      </c>
    </row>
    <row r="42" spans="2:95">
      <c r="B42" s="61" t="s">
        <v>56</v>
      </c>
      <c r="C42" s="64">
        <f t="shared" si="20"/>
        <v>167</v>
      </c>
      <c r="D42" s="67">
        <f t="shared" si="20"/>
        <v>172</v>
      </c>
      <c r="E42" s="60">
        <f t="shared" si="21"/>
        <v>339</v>
      </c>
      <c r="F42" s="64">
        <v>60</v>
      </c>
      <c r="G42" s="67">
        <v>41</v>
      </c>
      <c r="H42" s="60">
        <f t="shared" si="22"/>
        <v>101</v>
      </c>
      <c r="I42" s="64">
        <v>53</v>
      </c>
      <c r="J42" s="67">
        <v>57</v>
      </c>
      <c r="K42" s="60">
        <f t="shared" si="23"/>
        <v>110</v>
      </c>
      <c r="L42" s="64">
        <v>54</v>
      </c>
      <c r="M42" s="67">
        <v>74</v>
      </c>
      <c r="N42" s="60">
        <f t="shared" si="24"/>
        <v>128</v>
      </c>
      <c r="O42" s="64" t="s">
        <v>97</v>
      </c>
      <c r="P42" s="67" t="s">
        <v>97</v>
      </c>
      <c r="Q42" s="69"/>
      <c r="R42" s="64" t="s">
        <v>378</v>
      </c>
      <c r="S42" s="67" t="s">
        <v>97</v>
      </c>
      <c r="T42" s="69"/>
      <c r="U42" s="64" t="s">
        <v>97</v>
      </c>
      <c r="V42" s="67" t="s">
        <v>98</v>
      </c>
      <c r="W42" s="69"/>
      <c r="X42" s="64">
        <f t="shared" si="25"/>
        <v>48</v>
      </c>
      <c r="Y42" s="67">
        <f t="shared" si="26"/>
        <v>59</v>
      </c>
      <c r="Z42" s="60">
        <f t="shared" si="27"/>
        <v>107</v>
      </c>
      <c r="AA42" s="64">
        <f>VLOOKUP($B42,[1]Sheet1!$B$4:$O$55,3,FALSE)</f>
        <v>15</v>
      </c>
      <c r="AB42" s="67">
        <f>VLOOKUP($B42,[1]Sheet1!$B$4:$O$55,4,FALSE)</f>
        <v>11</v>
      </c>
      <c r="AC42" s="60">
        <f t="shared" si="28"/>
        <v>26</v>
      </c>
      <c r="AD42" s="64">
        <f>VLOOKUP($B42,[1]Sheet1!$B$4:$O$55,6,FALSE)</f>
        <v>16</v>
      </c>
      <c r="AE42" s="67">
        <f>VLOOKUP($B42,[1]Sheet1!$B$4:$O$55,7,FALSE)</f>
        <v>14</v>
      </c>
      <c r="AF42" s="60">
        <f t="shared" si="29"/>
        <v>30</v>
      </c>
      <c r="AG42" s="64">
        <f>VLOOKUP($B42,[1]Sheet1!$B$4:$O$55,9,FALSE)</f>
        <v>17</v>
      </c>
      <c r="AH42" s="67">
        <f>VLOOKUP($B42,[1]Sheet1!$B$4:$O$55,10,FALSE)</f>
        <v>34</v>
      </c>
      <c r="AI42" s="60">
        <f t="shared" si="30"/>
        <v>51</v>
      </c>
      <c r="AJ42" s="64">
        <f t="shared" si="31"/>
        <v>10</v>
      </c>
      <c r="AK42" s="67">
        <f t="shared" si="32"/>
        <v>14</v>
      </c>
      <c r="AL42" s="60">
        <f t="shared" si="33"/>
        <v>24</v>
      </c>
      <c r="AM42" s="64">
        <f>VLOOKUP($B42,[1]Sheet2!$B$4:$O$55,3,FALSE)</f>
        <v>1</v>
      </c>
      <c r="AN42" s="67">
        <f>VLOOKUP($B42,[1]Sheet2!$B$4:$O$55,4,FALSE)</f>
        <v>3</v>
      </c>
      <c r="AO42" s="60">
        <f t="shared" si="34"/>
        <v>4</v>
      </c>
      <c r="AP42" s="64">
        <f>VLOOKUP($B42,[1]Sheet2!$B$4:$O$55,6,FALSE)</f>
        <v>5</v>
      </c>
      <c r="AQ42" s="67">
        <f>VLOOKUP($B42,[1]Sheet2!$B$4:$O$55,7,FALSE)</f>
        <v>3</v>
      </c>
      <c r="AR42" s="60">
        <f t="shared" si="35"/>
        <v>8</v>
      </c>
      <c r="AS42" s="64">
        <f>VLOOKUP($B42,[1]Sheet2!$B$4:$O$55,9,FALSE)</f>
        <v>4</v>
      </c>
      <c r="AT42" s="67">
        <f>VLOOKUP($B42,[1]Sheet2!$B$4:$O$55,10,FALSE)</f>
        <v>8</v>
      </c>
      <c r="AU42" s="60">
        <f t="shared" si="36"/>
        <v>12</v>
      </c>
      <c r="AV42" s="64">
        <f t="shared" si="37"/>
        <v>4976</v>
      </c>
      <c r="AW42" s="67">
        <f t="shared" si="37"/>
        <v>7801</v>
      </c>
      <c r="AX42" s="60">
        <f t="shared" si="0"/>
        <v>12777</v>
      </c>
      <c r="AY42" s="64">
        <v>3175</v>
      </c>
      <c r="AZ42" s="67">
        <v>4482</v>
      </c>
      <c r="BA42" s="60">
        <f t="shared" si="1"/>
        <v>7657</v>
      </c>
      <c r="BB42" s="64">
        <v>1327</v>
      </c>
      <c r="BC42" s="67">
        <v>2170</v>
      </c>
      <c r="BD42" s="60">
        <f t="shared" si="2"/>
        <v>3497</v>
      </c>
      <c r="BE42" s="64">
        <v>474</v>
      </c>
      <c r="BF42" s="67">
        <v>1149</v>
      </c>
      <c r="BG42" s="60">
        <f t="shared" si="3"/>
        <v>1623</v>
      </c>
      <c r="BH42" s="64">
        <f t="shared" si="38"/>
        <v>289</v>
      </c>
      <c r="BI42" s="67">
        <f t="shared" si="38"/>
        <v>334</v>
      </c>
      <c r="BJ42" s="60">
        <f t="shared" si="4"/>
        <v>623</v>
      </c>
      <c r="BK42" s="64">
        <v>147</v>
      </c>
      <c r="BL42" s="67">
        <v>110</v>
      </c>
      <c r="BM42" s="60">
        <f t="shared" si="5"/>
        <v>257</v>
      </c>
      <c r="BN42" s="64">
        <v>90</v>
      </c>
      <c r="BO42" s="67">
        <v>91</v>
      </c>
      <c r="BP42" s="60">
        <f t="shared" si="6"/>
        <v>181</v>
      </c>
      <c r="BQ42" s="64">
        <v>52</v>
      </c>
      <c r="BR42" s="67">
        <v>133</v>
      </c>
      <c r="BS42" s="60">
        <f t="shared" si="7"/>
        <v>185</v>
      </c>
      <c r="BT42" s="64">
        <f t="shared" si="39"/>
        <v>0</v>
      </c>
      <c r="BU42" s="67">
        <f t="shared" si="39"/>
        <v>0</v>
      </c>
      <c r="BV42" s="60">
        <f t="shared" si="8"/>
        <v>0</v>
      </c>
      <c r="BW42" s="64"/>
      <c r="BX42" s="67"/>
      <c r="BY42" s="60">
        <f t="shared" si="9"/>
        <v>0</v>
      </c>
      <c r="BZ42" s="64"/>
      <c r="CA42" s="67"/>
      <c r="CB42" s="60">
        <f t="shared" si="10"/>
        <v>0</v>
      </c>
      <c r="CC42" s="64"/>
      <c r="CD42" s="67"/>
      <c r="CE42" s="60">
        <f t="shared" si="11"/>
        <v>0</v>
      </c>
      <c r="CF42" s="64">
        <f t="shared" si="40"/>
        <v>0</v>
      </c>
      <c r="CG42" s="67">
        <f t="shared" si="40"/>
        <v>0</v>
      </c>
      <c r="CH42" s="60">
        <f t="shared" si="12"/>
        <v>0</v>
      </c>
      <c r="CI42" s="64">
        <v>0</v>
      </c>
      <c r="CJ42" s="67">
        <v>0</v>
      </c>
      <c r="CK42" s="60">
        <f t="shared" si="13"/>
        <v>0</v>
      </c>
      <c r="CL42" s="64">
        <v>0</v>
      </c>
      <c r="CM42" s="67">
        <v>0</v>
      </c>
      <c r="CN42" s="60">
        <f t="shared" si="14"/>
        <v>0</v>
      </c>
      <c r="CO42" s="64">
        <v>0</v>
      </c>
      <c r="CP42" s="67">
        <v>0</v>
      </c>
      <c r="CQ42" s="60">
        <f t="shared" si="15"/>
        <v>0</v>
      </c>
    </row>
    <row r="43" spans="2:95">
      <c r="B43" s="61" t="s">
        <v>55</v>
      </c>
      <c r="C43" s="64">
        <f t="shared" si="20"/>
        <v>25</v>
      </c>
      <c r="D43" s="67">
        <f t="shared" si="20"/>
        <v>22</v>
      </c>
      <c r="E43" s="60">
        <f t="shared" si="21"/>
        <v>47</v>
      </c>
      <c r="F43" s="64">
        <v>11</v>
      </c>
      <c r="G43" s="67">
        <v>8</v>
      </c>
      <c r="H43" s="60">
        <f t="shared" si="22"/>
        <v>19</v>
      </c>
      <c r="I43" s="64">
        <v>7</v>
      </c>
      <c r="J43" s="67">
        <v>5</v>
      </c>
      <c r="K43" s="60">
        <f t="shared" si="23"/>
        <v>12</v>
      </c>
      <c r="L43" s="64">
        <v>7</v>
      </c>
      <c r="M43" s="67">
        <v>9</v>
      </c>
      <c r="N43" s="60">
        <f t="shared" si="24"/>
        <v>16</v>
      </c>
      <c r="O43" s="64" t="s">
        <v>96</v>
      </c>
      <c r="P43" s="67" t="s">
        <v>406</v>
      </c>
      <c r="Q43" s="69"/>
      <c r="R43" s="64" t="s">
        <v>389</v>
      </c>
      <c r="S43" s="67" t="s">
        <v>389</v>
      </c>
      <c r="T43" s="69"/>
      <c r="U43" s="64" t="s">
        <v>389</v>
      </c>
      <c r="V43" s="67" t="s">
        <v>389</v>
      </c>
      <c r="W43" s="69"/>
      <c r="X43" s="64">
        <f t="shared" si="25"/>
        <v>62</v>
      </c>
      <c r="Y43" s="67">
        <f t="shared" si="26"/>
        <v>110</v>
      </c>
      <c r="Z43" s="60">
        <f t="shared" si="27"/>
        <v>172</v>
      </c>
      <c r="AA43" s="64">
        <f>VLOOKUP($B43,[1]Sheet1!$B$4:$O$55,3,FALSE)</f>
        <v>16</v>
      </c>
      <c r="AB43" s="67">
        <f>VLOOKUP($B43,[1]Sheet1!$B$4:$O$55,4,FALSE)</f>
        <v>12</v>
      </c>
      <c r="AC43" s="60">
        <f t="shared" si="28"/>
        <v>28</v>
      </c>
      <c r="AD43" s="64">
        <f>VLOOKUP($B43,[1]Sheet1!$B$4:$O$55,6,FALSE)</f>
        <v>26</v>
      </c>
      <c r="AE43" s="67">
        <f>VLOOKUP($B43,[1]Sheet1!$B$4:$O$55,7,FALSE)</f>
        <v>39</v>
      </c>
      <c r="AF43" s="60">
        <f t="shared" si="29"/>
        <v>65</v>
      </c>
      <c r="AG43" s="64">
        <f>VLOOKUP($B43,[1]Sheet1!$B$4:$O$55,9,FALSE)</f>
        <v>20</v>
      </c>
      <c r="AH43" s="67">
        <f>VLOOKUP($B43,[1]Sheet1!$B$4:$O$55,10,FALSE)</f>
        <v>59</v>
      </c>
      <c r="AI43" s="60">
        <f t="shared" si="30"/>
        <v>79</v>
      </c>
      <c r="AJ43" s="64">
        <f t="shared" si="31"/>
        <v>28</v>
      </c>
      <c r="AK43" s="67">
        <f t="shared" si="32"/>
        <v>56</v>
      </c>
      <c r="AL43" s="60">
        <f t="shared" si="33"/>
        <v>84</v>
      </c>
      <c r="AM43" s="64">
        <f>VLOOKUP($B43,[1]Sheet2!$B$4:$O$55,3,FALSE)</f>
        <v>10</v>
      </c>
      <c r="AN43" s="67">
        <f>VLOOKUP($B43,[1]Sheet2!$B$4:$O$55,4,FALSE)</f>
        <v>8</v>
      </c>
      <c r="AO43" s="60">
        <f t="shared" si="34"/>
        <v>18</v>
      </c>
      <c r="AP43" s="64">
        <f>VLOOKUP($B43,[1]Sheet2!$B$4:$O$55,6,FALSE)</f>
        <v>12</v>
      </c>
      <c r="AQ43" s="67">
        <f>VLOOKUP($B43,[1]Sheet2!$B$4:$O$55,7,FALSE)</f>
        <v>20</v>
      </c>
      <c r="AR43" s="60">
        <f t="shared" si="35"/>
        <v>32</v>
      </c>
      <c r="AS43" s="64">
        <f>VLOOKUP($B43,[1]Sheet2!$B$4:$O$55,9,FALSE)</f>
        <v>6</v>
      </c>
      <c r="AT43" s="67">
        <f>VLOOKUP($B43,[1]Sheet2!$B$4:$O$55,10,FALSE)</f>
        <v>28</v>
      </c>
      <c r="AU43" s="60">
        <f t="shared" si="36"/>
        <v>34</v>
      </c>
      <c r="AV43" s="64">
        <f t="shared" si="37"/>
        <v>0</v>
      </c>
      <c r="AW43" s="67">
        <f t="shared" si="37"/>
        <v>0</v>
      </c>
      <c r="AX43" s="60">
        <f t="shared" si="0"/>
        <v>0</v>
      </c>
      <c r="AY43" s="64"/>
      <c r="AZ43" s="67"/>
      <c r="BA43" s="60">
        <f t="shared" si="1"/>
        <v>0</v>
      </c>
      <c r="BB43" s="64"/>
      <c r="BC43" s="67"/>
      <c r="BD43" s="60">
        <f t="shared" si="2"/>
        <v>0</v>
      </c>
      <c r="BE43" s="64"/>
      <c r="BF43" s="67"/>
      <c r="BG43" s="60">
        <f t="shared" si="3"/>
        <v>0</v>
      </c>
      <c r="BH43" s="64">
        <f t="shared" si="38"/>
        <v>0</v>
      </c>
      <c r="BI43" s="67">
        <f t="shared" si="38"/>
        <v>0</v>
      </c>
      <c r="BJ43" s="60">
        <f t="shared" si="4"/>
        <v>0</v>
      </c>
      <c r="BK43" s="64"/>
      <c r="BL43" s="67"/>
      <c r="BM43" s="60">
        <f t="shared" si="5"/>
        <v>0</v>
      </c>
      <c r="BN43" s="64"/>
      <c r="BO43" s="67"/>
      <c r="BP43" s="60">
        <f t="shared" si="6"/>
        <v>0</v>
      </c>
      <c r="BQ43" s="64"/>
      <c r="BR43" s="67"/>
      <c r="BS43" s="60">
        <f t="shared" si="7"/>
        <v>0</v>
      </c>
      <c r="BT43" s="64">
        <f t="shared" si="39"/>
        <v>0</v>
      </c>
      <c r="BU43" s="67">
        <f t="shared" si="39"/>
        <v>0</v>
      </c>
      <c r="BV43" s="60">
        <f t="shared" si="8"/>
        <v>0</v>
      </c>
      <c r="BW43" s="64"/>
      <c r="BX43" s="67"/>
      <c r="BY43" s="60">
        <f t="shared" si="9"/>
        <v>0</v>
      </c>
      <c r="BZ43" s="64"/>
      <c r="CA43" s="67"/>
      <c r="CB43" s="60">
        <f t="shared" si="10"/>
        <v>0</v>
      </c>
      <c r="CC43" s="64"/>
      <c r="CD43" s="67"/>
      <c r="CE43" s="60">
        <f t="shared" si="11"/>
        <v>0</v>
      </c>
      <c r="CF43" s="64">
        <f t="shared" si="40"/>
        <v>0</v>
      </c>
      <c r="CG43" s="67">
        <f t="shared" si="40"/>
        <v>0</v>
      </c>
      <c r="CH43" s="60">
        <f t="shared" si="12"/>
        <v>0</v>
      </c>
      <c r="CI43" s="64"/>
      <c r="CJ43" s="67"/>
      <c r="CK43" s="60">
        <f t="shared" si="13"/>
        <v>0</v>
      </c>
      <c r="CL43" s="64"/>
      <c r="CM43" s="67"/>
      <c r="CN43" s="60">
        <f t="shared" si="14"/>
        <v>0</v>
      </c>
      <c r="CO43" s="64"/>
      <c r="CP43" s="67"/>
      <c r="CQ43" s="60">
        <f t="shared" si="15"/>
        <v>0</v>
      </c>
    </row>
    <row r="44" spans="2:95">
      <c r="B44" s="61" t="s">
        <v>54</v>
      </c>
      <c r="C44" s="64">
        <f t="shared" si="20"/>
        <v>40</v>
      </c>
      <c r="D44" s="67">
        <f t="shared" si="20"/>
        <v>40</v>
      </c>
      <c r="E44" s="60">
        <f t="shared" si="21"/>
        <v>80</v>
      </c>
      <c r="F44" s="64">
        <v>8</v>
      </c>
      <c r="G44" s="67">
        <v>7</v>
      </c>
      <c r="H44" s="60">
        <f t="shared" si="22"/>
        <v>15</v>
      </c>
      <c r="I44" s="64">
        <v>9</v>
      </c>
      <c r="J44" s="67">
        <v>5</v>
      </c>
      <c r="K44" s="60">
        <f t="shared" si="23"/>
        <v>14</v>
      </c>
      <c r="L44" s="64">
        <v>23</v>
      </c>
      <c r="M44" s="67">
        <v>28</v>
      </c>
      <c r="N44" s="60">
        <f t="shared" si="24"/>
        <v>51</v>
      </c>
      <c r="O44" s="64" t="s">
        <v>96</v>
      </c>
      <c r="P44" s="67" t="s">
        <v>96</v>
      </c>
      <c r="Q44" s="69"/>
      <c r="R44" s="64" t="s">
        <v>407</v>
      </c>
      <c r="S44" s="67" t="s">
        <v>407</v>
      </c>
      <c r="T44" s="69"/>
      <c r="U44" s="64" t="s">
        <v>389</v>
      </c>
      <c r="V44" s="67" t="s">
        <v>389</v>
      </c>
      <c r="W44" s="69"/>
      <c r="X44" s="64">
        <f t="shared" si="25"/>
        <v>68</v>
      </c>
      <c r="Y44" s="67">
        <f t="shared" si="26"/>
        <v>90</v>
      </c>
      <c r="Z44" s="60">
        <f t="shared" si="27"/>
        <v>158</v>
      </c>
      <c r="AA44" s="64">
        <f>VLOOKUP($B44,[1]Sheet1!$B$4:$O$55,3,FALSE)</f>
        <v>26</v>
      </c>
      <c r="AB44" s="67">
        <f>VLOOKUP($B44,[1]Sheet1!$B$4:$O$55,4,FALSE)</f>
        <v>12</v>
      </c>
      <c r="AC44" s="60">
        <f t="shared" si="28"/>
        <v>38</v>
      </c>
      <c r="AD44" s="64">
        <f>VLOOKUP($B44,[1]Sheet1!$B$4:$O$55,6,FALSE)</f>
        <v>23</v>
      </c>
      <c r="AE44" s="67">
        <f>VLOOKUP($B44,[1]Sheet1!$B$4:$O$55,7,FALSE)</f>
        <v>30</v>
      </c>
      <c r="AF44" s="60">
        <f t="shared" si="29"/>
        <v>53</v>
      </c>
      <c r="AG44" s="64">
        <f>VLOOKUP($B44,[1]Sheet1!$B$4:$O$55,9,FALSE)</f>
        <v>19</v>
      </c>
      <c r="AH44" s="67">
        <f>VLOOKUP($B44,[1]Sheet1!$B$4:$O$55,10,FALSE)</f>
        <v>48</v>
      </c>
      <c r="AI44" s="60">
        <f t="shared" si="30"/>
        <v>67</v>
      </c>
      <c r="AJ44" s="64">
        <f t="shared" si="31"/>
        <v>35</v>
      </c>
      <c r="AK44" s="67">
        <f t="shared" si="32"/>
        <v>35</v>
      </c>
      <c r="AL44" s="60">
        <f t="shared" si="33"/>
        <v>70</v>
      </c>
      <c r="AM44" s="64">
        <f>VLOOKUP($B44,[1]Sheet2!$B$4:$O$55,3,FALSE)</f>
        <v>13</v>
      </c>
      <c r="AN44" s="67">
        <f>VLOOKUP($B44,[1]Sheet2!$B$4:$O$55,4,FALSE)</f>
        <v>7</v>
      </c>
      <c r="AO44" s="60">
        <f t="shared" si="34"/>
        <v>20</v>
      </c>
      <c r="AP44" s="64">
        <f>VLOOKUP($B44,[1]Sheet2!$B$4:$O$55,6,FALSE)</f>
        <v>12</v>
      </c>
      <c r="AQ44" s="67">
        <f>VLOOKUP($B44,[1]Sheet2!$B$4:$O$55,7,FALSE)</f>
        <v>11</v>
      </c>
      <c r="AR44" s="60">
        <f t="shared" si="35"/>
        <v>23</v>
      </c>
      <c r="AS44" s="64">
        <f>VLOOKUP($B44,[1]Sheet2!$B$4:$O$55,9,FALSE)</f>
        <v>10</v>
      </c>
      <c r="AT44" s="67">
        <f>VLOOKUP($B44,[1]Sheet2!$B$4:$O$55,10,FALSE)</f>
        <v>17</v>
      </c>
      <c r="AU44" s="60">
        <f t="shared" si="36"/>
        <v>27</v>
      </c>
      <c r="AV44" s="64">
        <f t="shared" si="37"/>
        <v>5065</v>
      </c>
      <c r="AW44" s="67">
        <f t="shared" si="37"/>
        <v>6781</v>
      </c>
      <c r="AX44" s="60">
        <f t="shared" si="0"/>
        <v>11846</v>
      </c>
      <c r="AY44" s="64">
        <v>3127</v>
      </c>
      <c r="AZ44" s="67">
        <v>3930</v>
      </c>
      <c r="BA44" s="60">
        <f t="shared" si="1"/>
        <v>7057</v>
      </c>
      <c r="BB44" s="64">
        <v>1369</v>
      </c>
      <c r="BC44" s="67">
        <v>2046</v>
      </c>
      <c r="BD44" s="60">
        <f t="shared" si="2"/>
        <v>3415</v>
      </c>
      <c r="BE44" s="64">
        <v>569</v>
      </c>
      <c r="BF44" s="67">
        <v>805</v>
      </c>
      <c r="BG44" s="60">
        <f t="shared" si="3"/>
        <v>1374</v>
      </c>
      <c r="BH44" s="64">
        <f t="shared" si="38"/>
        <v>0</v>
      </c>
      <c r="BI44" s="67">
        <f t="shared" si="38"/>
        <v>0</v>
      </c>
      <c r="BJ44" s="60">
        <f t="shared" si="4"/>
        <v>0</v>
      </c>
      <c r="BK44" s="64"/>
      <c r="BL44" s="67"/>
      <c r="BM44" s="60">
        <f t="shared" si="5"/>
        <v>0</v>
      </c>
      <c r="BN44" s="64"/>
      <c r="BO44" s="67"/>
      <c r="BP44" s="60">
        <f t="shared" si="6"/>
        <v>0</v>
      </c>
      <c r="BQ44" s="64"/>
      <c r="BR44" s="67"/>
      <c r="BS44" s="60">
        <f t="shared" si="7"/>
        <v>0</v>
      </c>
      <c r="BT44" s="64">
        <f t="shared" si="39"/>
        <v>0</v>
      </c>
      <c r="BU44" s="67">
        <f t="shared" si="39"/>
        <v>2</v>
      </c>
      <c r="BV44" s="60">
        <f t="shared" si="8"/>
        <v>2</v>
      </c>
      <c r="BW44" s="64"/>
      <c r="BX44" s="67">
        <v>2</v>
      </c>
      <c r="BY44" s="60">
        <f t="shared" si="9"/>
        <v>2</v>
      </c>
      <c r="BZ44" s="64"/>
      <c r="CA44" s="67"/>
      <c r="CB44" s="60">
        <f t="shared" si="10"/>
        <v>0</v>
      </c>
      <c r="CC44" s="64"/>
      <c r="CD44" s="67"/>
      <c r="CE44" s="60">
        <f t="shared" si="11"/>
        <v>0</v>
      </c>
      <c r="CF44" s="64">
        <f t="shared" si="40"/>
        <v>0</v>
      </c>
      <c r="CG44" s="67">
        <f t="shared" si="40"/>
        <v>0</v>
      </c>
      <c r="CH44" s="60">
        <f t="shared" si="12"/>
        <v>0</v>
      </c>
      <c r="CI44" s="64"/>
      <c r="CJ44" s="67"/>
      <c r="CK44" s="60">
        <f t="shared" si="13"/>
        <v>0</v>
      </c>
      <c r="CL44" s="64"/>
      <c r="CM44" s="67"/>
      <c r="CN44" s="60">
        <f t="shared" si="14"/>
        <v>0</v>
      </c>
      <c r="CO44" s="64"/>
      <c r="CP44" s="67"/>
      <c r="CQ44" s="60">
        <f t="shared" si="15"/>
        <v>0</v>
      </c>
    </row>
    <row r="45" spans="2:95">
      <c r="B45" s="61" t="s">
        <v>53</v>
      </c>
      <c r="C45" s="64">
        <f t="shared" si="20"/>
        <v>13</v>
      </c>
      <c r="D45" s="67">
        <f t="shared" si="20"/>
        <v>18</v>
      </c>
      <c r="E45" s="60">
        <f t="shared" si="21"/>
        <v>31</v>
      </c>
      <c r="F45" s="64">
        <v>2</v>
      </c>
      <c r="G45" s="67">
        <v>2</v>
      </c>
      <c r="H45" s="60">
        <f t="shared" si="22"/>
        <v>4</v>
      </c>
      <c r="I45" s="64">
        <v>4</v>
      </c>
      <c r="J45" s="67">
        <v>7</v>
      </c>
      <c r="K45" s="60">
        <f t="shared" si="23"/>
        <v>11</v>
      </c>
      <c r="L45" s="64">
        <v>7</v>
      </c>
      <c r="M45" s="67">
        <v>9</v>
      </c>
      <c r="N45" s="60">
        <f t="shared" si="24"/>
        <v>16</v>
      </c>
      <c r="O45" s="64" t="s">
        <v>408</v>
      </c>
      <c r="P45" s="67" t="s">
        <v>409</v>
      </c>
      <c r="Q45" s="69"/>
      <c r="R45" s="64" t="s">
        <v>96</v>
      </c>
      <c r="S45" s="67" t="s">
        <v>389</v>
      </c>
      <c r="T45" s="69"/>
      <c r="U45" s="64" t="s">
        <v>389</v>
      </c>
      <c r="V45" s="67" t="s">
        <v>389</v>
      </c>
      <c r="W45" s="69"/>
      <c r="X45" s="64">
        <f t="shared" si="25"/>
        <v>87</v>
      </c>
      <c r="Y45" s="67">
        <f t="shared" si="26"/>
        <v>161</v>
      </c>
      <c r="Z45" s="60">
        <f t="shared" si="27"/>
        <v>248</v>
      </c>
      <c r="AA45" s="64">
        <f>VLOOKUP($B45,[1]Sheet1!$B$4:$O$55,3,FALSE)</f>
        <v>27</v>
      </c>
      <c r="AB45" s="67">
        <f>VLOOKUP($B45,[1]Sheet1!$B$4:$O$55,4,FALSE)</f>
        <v>45</v>
      </c>
      <c r="AC45" s="60">
        <f t="shared" si="28"/>
        <v>72</v>
      </c>
      <c r="AD45" s="64">
        <f>VLOOKUP($B45,[1]Sheet1!$B$4:$O$55,6,FALSE)</f>
        <v>41</v>
      </c>
      <c r="AE45" s="67">
        <f>VLOOKUP($B45,[1]Sheet1!$B$4:$O$55,7,FALSE)</f>
        <v>55</v>
      </c>
      <c r="AF45" s="60">
        <f t="shared" si="29"/>
        <v>96</v>
      </c>
      <c r="AG45" s="64">
        <f>VLOOKUP($B45,[1]Sheet1!$B$4:$O$55,9,FALSE)</f>
        <v>19</v>
      </c>
      <c r="AH45" s="67">
        <f>VLOOKUP($B45,[1]Sheet1!$B$4:$O$55,10,FALSE)</f>
        <v>61</v>
      </c>
      <c r="AI45" s="60">
        <f t="shared" si="30"/>
        <v>80</v>
      </c>
      <c r="AJ45" s="64">
        <f t="shared" si="31"/>
        <v>24</v>
      </c>
      <c r="AK45" s="67">
        <f t="shared" si="32"/>
        <v>52</v>
      </c>
      <c r="AL45" s="60">
        <f t="shared" si="33"/>
        <v>76</v>
      </c>
      <c r="AM45" s="64">
        <f>VLOOKUP($B45,[1]Sheet2!$B$4:$O$55,3,FALSE)</f>
        <v>9</v>
      </c>
      <c r="AN45" s="67">
        <f>VLOOKUP($B45,[1]Sheet2!$B$4:$O$55,4,FALSE)</f>
        <v>12</v>
      </c>
      <c r="AO45" s="60">
        <f t="shared" si="34"/>
        <v>21</v>
      </c>
      <c r="AP45" s="64">
        <f>VLOOKUP($B45,[1]Sheet2!$B$4:$O$55,6,FALSE)</f>
        <v>12</v>
      </c>
      <c r="AQ45" s="67">
        <f>VLOOKUP($B45,[1]Sheet2!$B$4:$O$55,7,FALSE)</f>
        <v>21</v>
      </c>
      <c r="AR45" s="60">
        <f t="shared" si="35"/>
        <v>33</v>
      </c>
      <c r="AS45" s="64">
        <f>VLOOKUP($B45,[1]Sheet2!$B$4:$O$55,9,FALSE)</f>
        <v>3</v>
      </c>
      <c r="AT45" s="67">
        <f>VLOOKUP($B45,[1]Sheet2!$B$4:$O$55,10,FALSE)</f>
        <v>19</v>
      </c>
      <c r="AU45" s="60">
        <f t="shared" si="36"/>
        <v>22</v>
      </c>
      <c r="AV45" s="64">
        <f t="shared" si="37"/>
        <v>6954</v>
      </c>
      <c r="AW45" s="67">
        <f t="shared" si="37"/>
        <v>11729</v>
      </c>
      <c r="AX45" s="60">
        <f t="shared" si="0"/>
        <v>18683</v>
      </c>
      <c r="AY45" s="64">
        <v>4377</v>
      </c>
      <c r="AZ45" s="67">
        <v>6481</v>
      </c>
      <c r="BA45" s="60">
        <f t="shared" si="1"/>
        <v>10858</v>
      </c>
      <c r="BB45" s="64">
        <v>1793</v>
      </c>
      <c r="BC45" s="67">
        <v>3207</v>
      </c>
      <c r="BD45" s="60">
        <f t="shared" si="2"/>
        <v>5000</v>
      </c>
      <c r="BE45" s="64">
        <v>784</v>
      </c>
      <c r="BF45" s="67">
        <v>2041</v>
      </c>
      <c r="BG45" s="60">
        <f t="shared" si="3"/>
        <v>2825</v>
      </c>
      <c r="BH45" s="64">
        <f t="shared" si="38"/>
        <v>511</v>
      </c>
      <c r="BI45" s="67">
        <f t="shared" si="38"/>
        <v>649</v>
      </c>
      <c r="BJ45" s="60">
        <f t="shared" si="4"/>
        <v>1160</v>
      </c>
      <c r="BK45" s="64">
        <v>232</v>
      </c>
      <c r="BL45" s="67">
        <v>233</v>
      </c>
      <c r="BM45" s="60">
        <f t="shared" si="5"/>
        <v>465</v>
      </c>
      <c r="BN45" s="64">
        <v>176</v>
      </c>
      <c r="BO45" s="67">
        <v>218</v>
      </c>
      <c r="BP45" s="60">
        <f t="shared" si="6"/>
        <v>394</v>
      </c>
      <c r="BQ45" s="64">
        <v>103</v>
      </c>
      <c r="BR45" s="67">
        <v>198</v>
      </c>
      <c r="BS45" s="60">
        <f t="shared" si="7"/>
        <v>301</v>
      </c>
      <c r="BT45" s="64">
        <f t="shared" si="39"/>
        <v>139</v>
      </c>
      <c r="BU45" s="67">
        <f t="shared" si="39"/>
        <v>247</v>
      </c>
      <c r="BV45" s="60">
        <f t="shared" si="8"/>
        <v>386</v>
      </c>
      <c r="BW45" s="64">
        <v>80</v>
      </c>
      <c r="BX45" s="67">
        <v>132</v>
      </c>
      <c r="BY45" s="60">
        <f t="shared" si="9"/>
        <v>212</v>
      </c>
      <c r="BZ45" s="64">
        <v>41</v>
      </c>
      <c r="CA45" s="67">
        <v>69</v>
      </c>
      <c r="CB45" s="60">
        <f t="shared" si="10"/>
        <v>110</v>
      </c>
      <c r="CC45" s="64">
        <v>18</v>
      </c>
      <c r="CD45" s="67">
        <v>46</v>
      </c>
      <c r="CE45" s="60">
        <f t="shared" si="11"/>
        <v>64</v>
      </c>
      <c r="CF45" s="64">
        <f t="shared" si="40"/>
        <v>0</v>
      </c>
      <c r="CG45" s="67">
        <f t="shared" si="40"/>
        <v>0</v>
      </c>
      <c r="CH45" s="60">
        <f t="shared" si="12"/>
        <v>0</v>
      </c>
      <c r="CI45" s="64"/>
      <c r="CJ45" s="67"/>
      <c r="CK45" s="60">
        <f t="shared" si="13"/>
        <v>0</v>
      </c>
      <c r="CL45" s="64"/>
      <c r="CM45" s="67"/>
      <c r="CN45" s="60">
        <f t="shared" si="14"/>
        <v>0</v>
      </c>
      <c r="CO45" s="64"/>
      <c r="CP45" s="67"/>
      <c r="CQ45" s="60">
        <f t="shared" si="15"/>
        <v>0</v>
      </c>
    </row>
    <row r="46" spans="2:95">
      <c r="B46" s="61" t="s">
        <v>52</v>
      </c>
      <c r="C46" s="64">
        <f t="shared" si="20"/>
        <v>11</v>
      </c>
      <c r="D46" s="67">
        <f t="shared" si="20"/>
        <v>11</v>
      </c>
      <c r="E46" s="60">
        <f t="shared" si="21"/>
        <v>22</v>
      </c>
      <c r="F46" s="64">
        <v>2</v>
      </c>
      <c r="G46" s="67">
        <v>2</v>
      </c>
      <c r="H46" s="60">
        <f t="shared" si="22"/>
        <v>4</v>
      </c>
      <c r="I46" s="64">
        <v>5</v>
      </c>
      <c r="J46" s="67">
        <v>4</v>
      </c>
      <c r="K46" s="60">
        <f t="shared" si="23"/>
        <v>9</v>
      </c>
      <c r="L46" s="64">
        <v>4</v>
      </c>
      <c r="M46" s="67">
        <v>5</v>
      </c>
      <c r="N46" s="60">
        <f t="shared" si="24"/>
        <v>9</v>
      </c>
      <c r="O46" s="64" t="s">
        <v>410</v>
      </c>
      <c r="P46" s="67" t="s">
        <v>97</v>
      </c>
      <c r="Q46" s="69"/>
      <c r="R46" s="64" t="s">
        <v>410</v>
      </c>
      <c r="S46" s="67" t="s">
        <v>388</v>
      </c>
      <c r="T46" s="69"/>
      <c r="U46" s="64" t="s">
        <v>97</v>
      </c>
      <c r="V46" s="67" t="s">
        <v>97</v>
      </c>
      <c r="W46" s="69"/>
      <c r="X46" s="64">
        <f t="shared" si="25"/>
        <v>72</v>
      </c>
      <c r="Y46" s="67">
        <f t="shared" si="26"/>
        <v>97</v>
      </c>
      <c r="Z46" s="60">
        <f t="shared" si="27"/>
        <v>169</v>
      </c>
      <c r="AA46" s="64">
        <f>VLOOKUP($B46,[1]Sheet1!$B$4:$O$55,3,FALSE)</f>
        <v>17</v>
      </c>
      <c r="AB46" s="67">
        <f>VLOOKUP($B46,[1]Sheet1!$B$4:$O$55,4,FALSE)</f>
        <v>15</v>
      </c>
      <c r="AC46" s="60">
        <f t="shared" si="28"/>
        <v>32</v>
      </c>
      <c r="AD46" s="64">
        <f>VLOOKUP($B46,[1]Sheet1!$B$4:$O$55,6,FALSE)</f>
        <v>16</v>
      </c>
      <c r="AE46" s="67">
        <f>VLOOKUP($B46,[1]Sheet1!$B$4:$O$55,7,FALSE)</f>
        <v>24</v>
      </c>
      <c r="AF46" s="60">
        <f t="shared" si="29"/>
        <v>40</v>
      </c>
      <c r="AG46" s="64">
        <f>VLOOKUP($B46,[1]Sheet1!$B$4:$O$55,9,FALSE)</f>
        <v>39</v>
      </c>
      <c r="AH46" s="67">
        <f>VLOOKUP($B46,[1]Sheet1!$B$4:$O$55,10,FALSE)</f>
        <v>58</v>
      </c>
      <c r="AI46" s="60">
        <f t="shared" si="30"/>
        <v>97</v>
      </c>
      <c r="AJ46" s="64">
        <f t="shared" si="31"/>
        <v>26</v>
      </c>
      <c r="AK46" s="67">
        <f t="shared" si="32"/>
        <v>44</v>
      </c>
      <c r="AL46" s="60">
        <f t="shared" si="33"/>
        <v>70</v>
      </c>
      <c r="AM46" s="64">
        <f>VLOOKUP($B46,[1]Sheet2!$B$4:$O$55,3,FALSE)</f>
        <v>4</v>
      </c>
      <c r="AN46" s="67">
        <f>VLOOKUP($B46,[1]Sheet2!$B$4:$O$55,4,FALSE)</f>
        <v>6</v>
      </c>
      <c r="AO46" s="60">
        <f t="shared" si="34"/>
        <v>10</v>
      </c>
      <c r="AP46" s="64">
        <f>VLOOKUP($B46,[1]Sheet2!$B$4:$O$55,6,FALSE)</f>
        <v>7</v>
      </c>
      <c r="AQ46" s="67">
        <f>VLOOKUP($B46,[1]Sheet2!$B$4:$O$55,7,FALSE)</f>
        <v>13</v>
      </c>
      <c r="AR46" s="60">
        <f t="shared" si="35"/>
        <v>20</v>
      </c>
      <c r="AS46" s="64">
        <f>VLOOKUP($B46,[1]Sheet2!$B$4:$O$55,9,FALSE)</f>
        <v>15</v>
      </c>
      <c r="AT46" s="67">
        <f>VLOOKUP($B46,[1]Sheet2!$B$4:$O$55,10,FALSE)</f>
        <v>25</v>
      </c>
      <c r="AU46" s="60">
        <f t="shared" si="36"/>
        <v>40</v>
      </c>
      <c r="AV46" s="64">
        <f t="shared" si="37"/>
        <v>6486</v>
      </c>
      <c r="AW46" s="67">
        <f t="shared" si="37"/>
        <v>9893</v>
      </c>
      <c r="AX46" s="60">
        <f t="shared" si="0"/>
        <v>16379</v>
      </c>
      <c r="AY46" s="64">
        <v>3760</v>
      </c>
      <c r="AZ46" s="67">
        <v>5354</v>
      </c>
      <c r="BA46" s="60">
        <f t="shared" si="1"/>
        <v>9114</v>
      </c>
      <c r="BB46" s="64">
        <v>1988</v>
      </c>
      <c r="BC46" s="67">
        <v>2940</v>
      </c>
      <c r="BD46" s="60">
        <f t="shared" si="2"/>
        <v>4928</v>
      </c>
      <c r="BE46" s="64">
        <v>738</v>
      </c>
      <c r="BF46" s="67">
        <v>1599</v>
      </c>
      <c r="BG46" s="60">
        <f t="shared" si="3"/>
        <v>2337</v>
      </c>
      <c r="BH46" s="64">
        <f t="shared" si="38"/>
        <v>343</v>
      </c>
      <c r="BI46" s="67">
        <f t="shared" si="38"/>
        <v>368</v>
      </c>
      <c r="BJ46" s="60">
        <f t="shared" si="4"/>
        <v>711</v>
      </c>
      <c r="BK46" s="64">
        <v>172</v>
      </c>
      <c r="BL46" s="67">
        <v>147</v>
      </c>
      <c r="BM46" s="60">
        <f t="shared" si="5"/>
        <v>319</v>
      </c>
      <c r="BN46" s="64">
        <v>101</v>
      </c>
      <c r="BO46" s="67">
        <v>125</v>
      </c>
      <c r="BP46" s="60">
        <f t="shared" si="6"/>
        <v>226</v>
      </c>
      <c r="BQ46" s="64">
        <v>70</v>
      </c>
      <c r="BR46" s="67">
        <v>96</v>
      </c>
      <c r="BS46" s="60">
        <f t="shared" si="7"/>
        <v>166</v>
      </c>
      <c r="BT46" s="64">
        <f t="shared" si="39"/>
        <v>1932</v>
      </c>
      <c r="BU46" s="67">
        <f t="shared" si="39"/>
        <v>2684</v>
      </c>
      <c r="BV46" s="60">
        <f t="shared" si="8"/>
        <v>4616</v>
      </c>
      <c r="BW46" s="64">
        <v>1206</v>
      </c>
      <c r="BX46" s="67">
        <v>1432</v>
      </c>
      <c r="BY46" s="60">
        <f t="shared" si="9"/>
        <v>2638</v>
      </c>
      <c r="BZ46" s="64">
        <v>519</v>
      </c>
      <c r="CA46" s="67">
        <v>911</v>
      </c>
      <c r="CB46" s="60">
        <f t="shared" si="10"/>
        <v>1430</v>
      </c>
      <c r="CC46" s="64">
        <v>207</v>
      </c>
      <c r="CD46" s="67">
        <v>341</v>
      </c>
      <c r="CE46" s="60">
        <f t="shared" si="11"/>
        <v>548</v>
      </c>
      <c r="CF46" s="64">
        <f t="shared" si="40"/>
        <v>0</v>
      </c>
      <c r="CG46" s="67">
        <f t="shared" si="40"/>
        <v>0</v>
      </c>
      <c r="CH46" s="60">
        <f t="shared" si="12"/>
        <v>0</v>
      </c>
      <c r="CI46" s="64"/>
      <c r="CJ46" s="67"/>
      <c r="CK46" s="60">
        <f t="shared" si="13"/>
        <v>0</v>
      </c>
      <c r="CL46" s="64"/>
      <c r="CM46" s="67"/>
      <c r="CN46" s="60">
        <f t="shared" si="14"/>
        <v>0</v>
      </c>
      <c r="CO46" s="64"/>
      <c r="CP46" s="67"/>
      <c r="CQ46" s="60">
        <f t="shared" si="15"/>
        <v>0</v>
      </c>
    </row>
    <row r="47" spans="2:95">
      <c r="B47" s="61" t="s">
        <v>51</v>
      </c>
      <c r="C47" s="64">
        <f t="shared" si="20"/>
        <v>17</v>
      </c>
      <c r="D47" s="67">
        <f t="shared" si="20"/>
        <v>15</v>
      </c>
      <c r="E47" s="60">
        <f t="shared" si="21"/>
        <v>32</v>
      </c>
      <c r="F47" s="64">
        <v>7</v>
      </c>
      <c r="G47" s="67">
        <v>1</v>
      </c>
      <c r="H47" s="60">
        <f t="shared" si="22"/>
        <v>8</v>
      </c>
      <c r="I47" s="64">
        <v>6</v>
      </c>
      <c r="J47" s="67">
        <v>6</v>
      </c>
      <c r="K47" s="60">
        <f t="shared" si="23"/>
        <v>12</v>
      </c>
      <c r="L47" s="64">
        <v>4</v>
      </c>
      <c r="M47" s="67">
        <v>8</v>
      </c>
      <c r="N47" s="60">
        <f t="shared" si="24"/>
        <v>12</v>
      </c>
      <c r="O47" s="64" t="s">
        <v>411</v>
      </c>
      <c r="P47" s="67" t="s">
        <v>411</v>
      </c>
      <c r="Q47" s="69"/>
      <c r="R47" s="64" t="s">
        <v>389</v>
      </c>
      <c r="S47" s="67" t="s">
        <v>389</v>
      </c>
      <c r="T47" s="69"/>
      <c r="U47" s="64" t="s">
        <v>389</v>
      </c>
      <c r="V47" s="67" t="s">
        <v>389</v>
      </c>
      <c r="W47" s="69"/>
      <c r="X47" s="64">
        <f t="shared" si="25"/>
        <v>119</v>
      </c>
      <c r="Y47" s="67">
        <f t="shared" si="26"/>
        <v>142</v>
      </c>
      <c r="Z47" s="60">
        <f t="shared" si="27"/>
        <v>261</v>
      </c>
      <c r="AA47" s="64">
        <f>VLOOKUP($B47,[1]Sheet1!$B$4:$O$55,3,FALSE)</f>
        <v>31</v>
      </c>
      <c r="AB47" s="67">
        <f>VLOOKUP($B47,[1]Sheet1!$B$4:$O$55,4,FALSE)</f>
        <v>21</v>
      </c>
      <c r="AC47" s="60">
        <f t="shared" si="28"/>
        <v>52</v>
      </c>
      <c r="AD47" s="64">
        <f>VLOOKUP($B47,[1]Sheet1!$B$4:$O$55,6,FALSE)</f>
        <v>38</v>
      </c>
      <c r="AE47" s="67">
        <f>VLOOKUP($B47,[1]Sheet1!$B$4:$O$55,7,FALSE)</f>
        <v>32</v>
      </c>
      <c r="AF47" s="60">
        <f t="shared" si="29"/>
        <v>70</v>
      </c>
      <c r="AG47" s="64">
        <f>VLOOKUP($B47,[1]Sheet1!$B$4:$O$55,9,FALSE)</f>
        <v>50</v>
      </c>
      <c r="AH47" s="67">
        <f>VLOOKUP($B47,[1]Sheet1!$B$4:$O$55,10,FALSE)</f>
        <v>89</v>
      </c>
      <c r="AI47" s="60">
        <f t="shared" si="30"/>
        <v>139</v>
      </c>
      <c r="AJ47" s="64">
        <f t="shared" si="31"/>
        <v>2</v>
      </c>
      <c r="AK47" s="67">
        <f t="shared" si="32"/>
        <v>6</v>
      </c>
      <c r="AL47" s="60">
        <f t="shared" si="33"/>
        <v>8</v>
      </c>
      <c r="AM47" s="64">
        <f>VLOOKUP($B47,[1]Sheet2!$B$4:$O$55,3,FALSE)</f>
        <v>0</v>
      </c>
      <c r="AN47" s="67">
        <f>VLOOKUP($B47,[1]Sheet2!$B$4:$O$55,4,FALSE)</f>
        <v>1</v>
      </c>
      <c r="AO47" s="60">
        <f t="shared" si="34"/>
        <v>1</v>
      </c>
      <c r="AP47" s="64">
        <f>VLOOKUP($B47,[1]Sheet2!$B$4:$O$55,6,FALSE)</f>
        <v>2</v>
      </c>
      <c r="AQ47" s="67">
        <f>VLOOKUP($B47,[1]Sheet2!$B$4:$O$55,7,FALSE)</f>
        <v>1</v>
      </c>
      <c r="AR47" s="60">
        <f t="shared" si="35"/>
        <v>3</v>
      </c>
      <c r="AS47" s="64">
        <f>VLOOKUP($B47,[1]Sheet2!$B$4:$O$55,9,FALSE)</f>
        <v>0</v>
      </c>
      <c r="AT47" s="67">
        <f>VLOOKUP($B47,[1]Sheet2!$B$4:$O$55,10,FALSE)</f>
        <v>4</v>
      </c>
      <c r="AU47" s="60">
        <f t="shared" si="36"/>
        <v>4</v>
      </c>
      <c r="AV47" s="64">
        <f t="shared" si="37"/>
        <v>6589</v>
      </c>
      <c r="AW47" s="67">
        <f t="shared" si="37"/>
        <v>10419</v>
      </c>
      <c r="AX47" s="60">
        <f t="shared" si="0"/>
        <v>17008</v>
      </c>
      <c r="AY47" s="64">
        <v>4194</v>
      </c>
      <c r="AZ47" s="67">
        <v>6127</v>
      </c>
      <c r="BA47" s="60">
        <f t="shared" si="1"/>
        <v>10321</v>
      </c>
      <c r="BB47" s="64">
        <v>1805</v>
      </c>
      <c r="BC47" s="67">
        <v>2832</v>
      </c>
      <c r="BD47" s="60">
        <f t="shared" si="2"/>
        <v>4637</v>
      </c>
      <c r="BE47" s="64">
        <v>590</v>
      </c>
      <c r="BF47" s="67">
        <v>1460</v>
      </c>
      <c r="BG47" s="60">
        <f t="shared" si="3"/>
        <v>2050</v>
      </c>
      <c r="BH47" s="64">
        <f t="shared" si="38"/>
        <v>241</v>
      </c>
      <c r="BI47" s="67">
        <f t="shared" si="38"/>
        <v>268</v>
      </c>
      <c r="BJ47" s="60">
        <f t="shared" si="4"/>
        <v>509</v>
      </c>
      <c r="BK47" s="64">
        <v>197</v>
      </c>
      <c r="BL47" s="67">
        <v>196</v>
      </c>
      <c r="BM47" s="60">
        <f t="shared" si="5"/>
        <v>393</v>
      </c>
      <c r="BN47" s="64">
        <v>33</v>
      </c>
      <c r="BO47" s="67">
        <v>37</v>
      </c>
      <c r="BP47" s="60">
        <f t="shared" si="6"/>
        <v>70</v>
      </c>
      <c r="BQ47" s="64">
        <v>11</v>
      </c>
      <c r="BR47" s="67">
        <v>35</v>
      </c>
      <c r="BS47" s="60">
        <f t="shared" si="7"/>
        <v>46</v>
      </c>
      <c r="BT47" s="64">
        <f t="shared" si="39"/>
        <v>96</v>
      </c>
      <c r="BU47" s="67">
        <f t="shared" si="39"/>
        <v>175</v>
      </c>
      <c r="BV47" s="60">
        <f t="shared" si="8"/>
        <v>271</v>
      </c>
      <c r="BW47" s="64">
        <v>52</v>
      </c>
      <c r="BX47" s="67">
        <v>103</v>
      </c>
      <c r="BY47" s="60">
        <f t="shared" si="9"/>
        <v>155</v>
      </c>
      <c r="BZ47" s="64">
        <v>33</v>
      </c>
      <c r="CA47" s="67">
        <v>37</v>
      </c>
      <c r="CB47" s="60">
        <f t="shared" si="10"/>
        <v>70</v>
      </c>
      <c r="CC47" s="64">
        <v>11</v>
      </c>
      <c r="CD47" s="67">
        <v>35</v>
      </c>
      <c r="CE47" s="60">
        <f t="shared" si="11"/>
        <v>46</v>
      </c>
      <c r="CF47" s="64">
        <f t="shared" si="40"/>
        <v>0</v>
      </c>
      <c r="CG47" s="67">
        <f t="shared" si="40"/>
        <v>3</v>
      </c>
      <c r="CH47" s="60">
        <f t="shared" si="12"/>
        <v>3</v>
      </c>
      <c r="CI47" s="64"/>
      <c r="CJ47" s="67">
        <v>1</v>
      </c>
      <c r="CK47" s="60">
        <f t="shared" si="13"/>
        <v>1</v>
      </c>
      <c r="CL47" s="64"/>
      <c r="CM47" s="67">
        <v>1</v>
      </c>
      <c r="CN47" s="60">
        <f t="shared" si="14"/>
        <v>1</v>
      </c>
      <c r="CO47" s="64"/>
      <c r="CP47" s="67">
        <v>1</v>
      </c>
      <c r="CQ47" s="60">
        <f t="shared" si="15"/>
        <v>1</v>
      </c>
    </row>
    <row r="48" spans="2:95">
      <c r="B48" s="61" t="s">
        <v>50</v>
      </c>
      <c r="C48" s="64">
        <f t="shared" si="20"/>
        <v>23</v>
      </c>
      <c r="D48" s="67">
        <f t="shared" si="20"/>
        <v>27</v>
      </c>
      <c r="E48" s="60">
        <f t="shared" si="21"/>
        <v>50</v>
      </c>
      <c r="F48" s="64">
        <v>5</v>
      </c>
      <c r="G48" s="67">
        <v>5</v>
      </c>
      <c r="H48" s="60">
        <f t="shared" si="22"/>
        <v>10</v>
      </c>
      <c r="I48" s="64">
        <v>5</v>
      </c>
      <c r="J48" s="67">
        <v>5</v>
      </c>
      <c r="K48" s="60">
        <f t="shared" si="23"/>
        <v>10</v>
      </c>
      <c r="L48" s="64">
        <v>13</v>
      </c>
      <c r="M48" s="67">
        <v>17</v>
      </c>
      <c r="N48" s="60">
        <f t="shared" si="24"/>
        <v>30</v>
      </c>
      <c r="O48" s="64" t="s">
        <v>96</v>
      </c>
      <c r="P48" s="67" t="s">
        <v>96</v>
      </c>
      <c r="Q48" s="69"/>
      <c r="R48" s="64" t="s">
        <v>389</v>
      </c>
      <c r="S48" s="67" t="s">
        <v>389</v>
      </c>
      <c r="T48" s="69"/>
      <c r="U48" s="64" t="s">
        <v>389</v>
      </c>
      <c r="V48" s="67" t="s">
        <v>389</v>
      </c>
      <c r="W48" s="69"/>
      <c r="X48" s="64">
        <f t="shared" si="25"/>
        <v>40</v>
      </c>
      <c r="Y48" s="67">
        <f t="shared" si="26"/>
        <v>49</v>
      </c>
      <c r="Z48" s="60">
        <f t="shared" si="27"/>
        <v>89</v>
      </c>
      <c r="AA48" s="64">
        <f>VLOOKUP($B48,[1]Sheet1!$B$4:$O$55,3,FALSE)</f>
        <v>10</v>
      </c>
      <c r="AB48" s="67">
        <f>VLOOKUP($B48,[1]Sheet1!$B$4:$O$55,4,FALSE)</f>
        <v>5</v>
      </c>
      <c r="AC48" s="60">
        <f t="shared" si="28"/>
        <v>15</v>
      </c>
      <c r="AD48" s="64">
        <f>VLOOKUP($B48,[1]Sheet1!$B$4:$O$55,6,FALSE)</f>
        <v>13</v>
      </c>
      <c r="AE48" s="67">
        <f>VLOOKUP($B48,[1]Sheet1!$B$4:$O$55,7,FALSE)</f>
        <v>14</v>
      </c>
      <c r="AF48" s="60">
        <f t="shared" si="29"/>
        <v>27</v>
      </c>
      <c r="AG48" s="64">
        <f>VLOOKUP($B48,[1]Sheet1!$B$4:$O$55,9,FALSE)</f>
        <v>17</v>
      </c>
      <c r="AH48" s="67">
        <f>VLOOKUP($B48,[1]Sheet1!$B$4:$O$55,10,FALSE)</f>
        <v>30</v>
      </c>
      <c r="AI48" s="60">
        <f t="shared" si="30"/>
        <v>47</v>
      </c>
      <c r="AJ48" s="64">
        <f t="shared" si="31"/>
        <v>9</v>
      </c>
      <c r="AK48" s="67">
        <f t="shared" si="32"/>
        <v>9</v>
      </c>
      <c r="AL48" s="60">
        <f t="shared" si="33"/>
        <v>18</v>
      </c>
      <c r="AM48" s="64">
        <f>VLOOKUP($B48,[1]Sheet2!$B$4:$O$55,3,FALSE)</f>
        <v>4</v>
      </c>
      <c r="AN48" s="67">
        <f>VLOOKUP($B48,[1]Sheet2!$B$4:$O$55,4,FALSE)</f>
        <v>1</v>
      </c>
      <c r="AO48" s="60">
        <f t="shared" si="34"/>
        <v>5</v>
      </c>
      <c r="AP48" s="64">
        <f>VLOOKUP($B48,[1]Sheet2!$B$4:$O$55,6,FALSE)</f>
        <v>3</v>
      </c>
      <c r="AQ48" s="67">
        <f>VLOOKUP($B48,[1]Sheet2!$B$4:$O$55,7,FALSE)</f>
        <v>2</v>
      </c>
      <c r="AR48" s="60">
        <f t="shared" si="35"/>
        <v>5</v>
      </c>
      <c r="AS48" s="64">
        <f>VLOOKUP($B48,[1]Sheet2!$B$4:$O$55,9,FALSE)</f>
        <v>2</v>
      </c>
      <c r="AT48" s="67">
        <f>VLOOKUP($B48,[1]Sheet2!$B$4:$O$55,10,FALSE)</f>
        <v>6</v>
      </c>
      <c r="AU48" s="60">
        <f t="shared" si="36"/>
        <v>8</v>
      </c>
      <c r="AV48" s="64">
        <f t="shared" si="37"/>
        <v>4510</v>
      </c>
      <c r="AW48" s="67">
        <f t="shared" si="37"/>
        <v>6872</v>
      </c>
      <c r="AX48" s="60">
        <f t="shared" si="0"/>
        <v>11382</v>
      </c>
      <c r="AY48" s="64">
        <v>3029</v>
      </c>
      <c r="AZ48" s="67">
        <v>4213</v>
      </c>
      <c r="BA48" s="60">
        <f t="shared" si="1"/>
        <v>7242</v>
      </c>
      <c r="BB48" s="64">
        <v>1117</v>
      </c>
      <c r="BC48" s="67">
        <v>1740</v>
      </c>
      <c r="BD48" s="60">
        <f t="shared" si="2"/>
        <v>2857</v>
      </c>
      <c r="BE48" s="64">
        <v>364</v>
      </c>
      <c r="BF48" s="67">
        <v>919</v>
      </c>
      <c r="BG48" s="60">
        <f t="shared" si="3"/>
        <v>1283</v>
      </c>
      <c r="BH48" s="64">
        <f t="shared" si="38"/>
        <v>244</v>
      </c>
      <c r="BI48" s="67">
        <f t="shared" si="38"/>
        <v>243</v>
      </c>
      <c r="BJ48" s="60">
        <f t="shared" si="4"/>
        <v>487</v>
      </c>
      <c r="BK48" s="64">
        <v>121</v>
      </c>
      <c r="BL48" s="67">
        <v>108</v>
      </c>
      <c r="BM48" s="60">
        <f t="shared" si="5"/>
        <v>229</v>
      </c>
      <c r="BN48" s="64">
        <v>76</v>
      </c>
      <c r="BO48" s="67">
        <v>78</v>
      </c>
      <c r="BP48" s="60">
        <f t="shared" si="6"/>
        <v>154</v>
      </c>
      <c r="BQ48" s="64">
        <v>47</v>
      </c>
      <c r="BR48" s="67">
        <v>57</v>
      </c>
      <c r="BS48" s="60">
        <f t="shared" si="7"/>
        <v>104</v>
      </c>
      <c r="BT48" s="64">
        <f t="shared" si="39"/>
        <v>849</v>
      </c>
      <c r="BU48" s="67">
        <f t="shared" si="39"/>
        <v>1322</v>
      </c>
      <c r="BV48" s="60">
        <f t="shared" si="8"/>
        <v>2171</v>
      </c>
      <c r="BW48" s="64">
        <v>496</v>
      </c>
      <c r="BX48" s="67">
        <v>761</v>
      </c>
      <c r="BY48" s="60">
        <f t="shared" si="9"/>
        <v>1257</v>
      </c>
      <c r="BZ48" s="64">
        <v>276</v>
      </c>
      <c r="CA48" s="67">
        <v>412</v>
      </c>
      <c r="CB48" s="60">
        <f t="shared" si="10"/>
        <v>688</v>
      </c>
      <c r="CC48" s="64">
        <v>77</v>
      </c>
      <c r="CD48" s="67">
        <v>149</v>
      </c>
      <c r="CE48" s="60">
        <f t="shared" si="11"/>
        <v>226</v>
      </c>
      <c r="CF48" s="64">
        <f t="shared" si="40"/>
        <v>0</v>
      </c>
      <c r="CG48" s="67">
        <f t="shared" si="40"/>
        <v>0</v>
      </c>
      <c r="CH48" s="60">
        <f t="shared" si="12"/>
        <v>0</v>
      </c>
      <c r="CI48" s="64">
        <v>0</v>
      </c>
      <c r="CJ48" s="67">
        <v>0</v>
      </c>
      <c r="CK48" s="60">
        <f t="shared" si="13"/>
        <v>0</v>
      </c>
      <c r="CL48" s="64">
        <v>0</v>
      </c>
      <c r="CM48" s="67">
        <v>0</v>
      </c>
      <c r="CN48" s="60">
        <f t="shared" si="14"/>
        <v>0</v>
      </c>
      <c r="CO48" s="64">
        <v>0</v>
      </c>
      <c r="CP48" s="67">
        <v>0</v>
      </c>
      <c r="CQ48" s="60">
        <f t="shared" si="15"/>
        <v>0</v>
      </c>
    </row>
    <row r="49" spans="2:96">
      <c r="B49" s="61" t="s">
        <v>19</v>
      </c>
      <c r="C49" s="64">
        <f t="shared" si="20"/>
        <v>9</v>
      </c>
      <c r="D49" s="67">
        <f t="shared" si="20"/>
        <v>12</v>
      </c>
      <c r="E49" s="60">
        <f t="shared" si="21"/>
        <v>21</v>
      </c>
      <c r="F49" s="64">
        <v>3</v>
      </c>
      <c r="G49" s="67">
        <v>3</v>
      </c>
      <c r="H49" s="60">
        <f t="shared" si="22"/>
        <v>6</v>
      </c>
      <c r="I49" s="64">
        <v>1</v>
      </c>
      <c r="J49" s="67">
        <v>3</v>
      </c>
      <c r="K49" s="60">
        <f t="shared" si="23"/>
        <v>4</v>
      </c>
      <c r="L49" s="64">
        <v>5</v>
      </c>
      <c r="M49" s="67">
        <v>6</v>
      </c>
      <c r="N49" s="60">
        <f t="shared" si="24"/>
        <v>11</v>
      </c>
      <c r="O49" s="64"/>
      <c r="P49" s="67"/>
      <c r="Q49" s="69"/>
      <c r="R49" s="64"/>
      <c r="S49" s="67" t="s">
        <v>96</v>
      </c>
      <c r="T49" s="69"/>
      <c r="U49" s="64" t="s">
        <v>394</v>
      </c>
      <c r="V49" s="67" t="s">
        <v>394</v>
      </c>
      <c r="W49" s="69"/>
      <c r="X49" s="64">
        <f t="shared" si="25"/>
        <v>133</v>
      </c>
      <c r="Y49" s="67">
        <f t="shared" si="26"/>
        <v>213</v>
      </c>
      <c r="Z49" s="60">
        <f t="shared" si="27"/>
        <v>346</v>
      </c>
      <c r="AA49" s="64">
        <f>VLOOKUP($B49,[1]Sheet1!$B$4:$O$55,3,FALSE)</f>
        <v>37</v>
      </c>
      <c r="AB49" s="67">
        <f>VLOOKUP($B49,[1]Sheet1!$B$4:$O$55,4,FALSE)</f>
        <v>27</v>
      </c>
      <c r="AC49" s="60">
        <f t="shared" si="28"/>
        <v>64</v>
      </c>
      <c r="AD49" s="64">
        <f>VLOOKUP($B49,[1]Sheet1!$B$4:$O$55,6,FALSE)</f>
        <v>39</v>
      </c>
      <c r="AE49" s="67">
        <f>VLOOKUP($B49,[1]Sheet1!$B$4:$O$55,7,FALSE)</f>
        <v>82</v>
      </c>
      <c r="AF49" s="60">
        <f t="shared" si="29"/>
        <v>121</v>
      </c>
      <c r="AG49" s="64">
        <f>VLOOKUP($B49,[1]Sheet1!$B$4:$O$55,9,FALSE)</f>
        <v>57</v>
      </c>
      <c r="AH49" s="67">
        <f>VLOOKUP($B49,[1]Sheet1!$B$4:$O$55,10,FALSE)</f>
        <v>104</v>
      </c>
      <c r="AI49" s="60">
        <f t="shared" si="30"/>
        <v>161</v>
      </c>
      <c r="AJ49" s="64">
        <f t="shared" si="31"/>
        <v>48</v>
      </c>
      <c r="AK49" s="67">
        <f t="shared" si="32"/>
        <v>79</v>
      </c>
      <c r="AL49" s="60">
        <f t="shared" si="33"/>
        <v>127</v>
      </c>
      <c r="AM49" s="64">
        <f>VLOOKUP($B49,[1]Sheet2!$B$4:$O$55,3,FALSE)</f>
        <v>13</v>
      </c>
      <c r="AN49" s="67">
        <f>VLOOKUP($B49,[1]Sheet2!$B$4:$O$55,4,FALSE)</f>
        <v>12</v>
      </c>
      <c r="AO49" s="60">
        <f t="shared" si="34"/>
        <v>25</v>
      </c>
      <c r="AP49" s="64">
        <f>VLOOKUP($B49,[1]Sheet2!$B$4:$O$55,6,FALSE)</f>
        <v>16</v>
      </c>
      <c r="AQ49" s="67">
        <f>VLOOKUP($B49,[1]Sheet2!$B$4:$O$55,7,FALSE)</f>
        <v>36</v>
      </c>
      <c r="AR49" s="60">
        <f t="shared" si="35"/>
        <v>52</v>
      </c>
      <c r="AS49" s="64">
        <f>VLOOKUP($B49,[1]Sheet2!$B$4:$O$55,9,FALSE)</f>
        <v>19</v>
      </c>
      <c r="AT49" s="67">
        <f>VLOOKUP($B49,[1]Sheet2!$B$4:$O$55,10,FALSE)</f>
        <v>31</v>
      </c>
      <c r="AU49" s="60">
        <f t="shared" si="36"/>
        <v>50</v>
      </c>
      <c r="AV49" s="64">
        <f t="shared" si="37"/>
        <v>7889</v>
      </c>
      <c r="AW49" s="67">
        <f t="shared" si="37"/>
        <v>12106</v>
      </c>
      <c r="AX49" s="60">
        <f t="shared" si="0"/>
        <v>19995</v>
      </c>
      <c r="AY49" s="64">
        <v>5074</v>
      </c>
      <c r="AZ49" s="67">
        <v>7195</v>
      </c>
      <c r="BA49" s="60">
        <f t="shared" si="1"/>
        <v>12269</v>
      </c>
      <c r="BB49" s="64">
        <v>2144</v>
      </c>
      <c r="BC49" s="67">
        <v>3413</v>
      </c>
      <c r="BD49" s="60">
        <f t="shared" si="2"/>
        <v>5557</v>
      </c>
      <c r="BE49" s="64">
        <v>671</v>
      </c>
      <c r="BF49" s="67">
        <v>1498</v>
      </c>
      <c r="BG49" s="60">
        <f t="shared" si="3"/>
        <v>2169</v>
      </c>
      <c r="BH49" s="64">
        <f t="shared" si="38"/>
        <v>627</v>
      </c>
      <c r="BI49" s="67">
        <f t="shared" si="38"/>
        <v>839</v>
      </c>
      <c r="BJ49" s="60">
        <f t="shared" si="4"/>
        <v>1466</v>
      </c>
      <c r="BK49" s="64">
        <v>300</v>
      </c>
      <c r="BL49" s="67">
        <v>267</v>
      </c>
      <c r="BM49" s="60">
        <f t="shared" si="5"/>
        <v>567</v>
      </c>
      <c r="BN49" s="64">
        <v>209</v>
      </c>
      <c r="BO49" s="67">
        <v>298</v>
      </c>
      <c r="BP49" s="60">
        <f t="shared" si="6"/>
        <v>507</v>
      </c>
      <c r="BQ49" s="64">
        <v>118</v>
      </c>
      <c r="BR49" s="67">
        <v>274</v>
      </c>
      <c r="BS49" s="60">
        <f t="shared" si="7"/>
        <v>392</v>
      </c>
      <c r="BT49" s="64">
        <f t="shared" si="39"/>
        <v>147</v>
      </c>
      <c r="BU49" s="67">
        <f t="shared" si="39"/>
        <v>218</v>
      </c>
      <c r="BV49" s="60">
        <f t="shared" si="8"/>
        <v>365</v>
      </c>
      <c r="BW49" s="64">
        <v>98</v>
      </c>
      <c r="BX49" s="67">
        <v>127</v>
      </c>
      <c r="BY49" s="60">
        <f t="shared" si="9"/>
        <v>225</v>
      </c>
      <c r="BZ49" s="64">
        <v>37</v>
      </c>
      <c r="CA49" s="67">
        <v>57</v>
      </c>
      <c r="CB49" s="60">
        <f t="shared" si="10"/>
        <v>94</v>
      </c>
      <c r="CC49" s="64">
        <v>12</v>
      </c>
      <c r="CD49" s="67">
        <v>34</v>
      </c>
      <c r="CE49" s="60">
        <f t="shared" si="11"/>
        <v>46</v>
      </c>
      <c r="CF49" s="64">
        <f t="shared" si="40"/>
        <v>0</v>
      </c>
      <c r="CG49" s="67">
        <f t="shared" si="40"/>
        <v>0</v>
      </c>
      <c r="CH49" s="60">
        <f t="shared" si="12"/>
        <v>0</v>
      </c>
      <c r="CI49" s="64"/>
      <c r="CJ49" s="67"/>
      <c r="CK49" s="60">
        <f t="shared" si="13"/>
        <v>0</v>
      </c>
      <c r="CL49" s="64"/>
      <c r="CM49" s="67"/>
      <c r="CN49" s="60">
        <f t="shared" si="14"/>
        <v>0</v>
      </c>
      <c r="CO49" s="64"/>
      <c r="CP49" s="67"/>
      <c r="CQ49" s="60">
        <f t="shared" si="15"/>
        <v>0</v>
      </c>
    </row>
    <row r="50" spans="2:96">
      <c r="B50" s="61" t="s">
        <v>20</v>
      </c>
      <c r="C50" s="64">
        <f t="shared" si="20"/>
        <v>28</v>
      </c>
      <c r="D50" s="67">
        <f t="shared" si="20"/>
        <v>38</v>
      </c>
      <c r="E50" s="60">
        <f t="shared" si="21"/>
        <v>66</v>
      </c>
      <c r="F50" s="64">
        <v>7</v>
      </c>
      <c r="G50" s="67">
        <v>5</v>
      </c>
      <c r="H50" s="60">
        <f t="shared" si="22"/>
        <v>12</v>
      </c>
      <c r="I50" s="64">
        <v>9</v>
      </c>
      <c r="J50" s="67">
        <v>10</v>
      </c>
      <c r="K50" s="60">
        <f t="shared" si="23"/>
        <v>19</v>
      </c>
      <c r="L50" s="64">
        <v>12</v>
      </c>
      <c r="M50" s="67">
        <v>23</v>
      </c>
      <c r="N50" s="60">
        <f t="shared" si="24"/>
        <v>35</v>
      </c>
      <c r="O50" s="64"/>
      <c r="P50" s="67"/>
      <c r="Q50" s="69"/>
      <c r="R50" s="64"/>
      <c r="S50" s="67"/>
      <c r="T50" s="69"/>
      <c r="U50" s="64"/>
      <c r="V50" s="67"/>
      <c r="W50" s="69"/>
      <c r="X50" s="64">
        <f t="shared" si="25"/>
        <v>100</v>
      </c>
      <c r="Y50" s="67">
        <f t="shared" si="26"/>
        <v>142</v>
      </c>
      <c r="Z50" s="60">
        <f t="shared" si="27"/>
        <v>242</v>
      </c>
      <c r="AA50" s="64">
        <f>VLOOKUP($B50,[1]Sheet1!$B$4:$O$55,3,FALSE)</f>
        <v>25</v>
      </c>
      <c r="AB50" s="67">
        <f>VLOOKUP($B50,[1]Sheet1!$B$4:$O$55,4,FALSE)</f>
        <v>18</v>
      </c>
      <c r="AC50" s="60">
        <f t="shared" si="28"/>
        <v>43</v>
      </c>
      <c r="AD50" s="64">
        <f>VLOOKUP($B50,[1]Sheet1!$B$4:$O$55,6,FALSE)</f>
        <v>33</v>
      </c>
      <c r="AE50" s="67">
        <f>VLOOKUP($B50,[1]Sheet1!$B$4:$O$55,7,FALSE)</f>
        <v>39</v>
      </c>
      <c r="AF50" s="60">
        <f t="shared" si="29"/>
        <v>72</v>
      </c>
      <c r="AG50" s="64">
        <f>VLOOKUP($B50,[1]Sheet1!$B$4:$O$55,9,FALSE)</f>
        <v>42</v>
      </c>
      <c r="AH50" s="67">
        <f>VLOOKUP($B50,[1]Sheet1!$B$4:$O$55,10,FALSE)</f>
        <v>85</v>
      </c>
      <c r="AI50" s="60">
        <f t="shared" si="30"/>
        <v>127</v>
      </c>
      <c r="AJ50" s="64">
        <f t="shared" si="31"/>
        <v>24</v>
      </c>
      <c r="AK50" s="67">
        <f t="shared" si="32"/>
        <v>83</v>
      </c>
      <c r="AL50" s="60">
        <f t="shared" si="33"/>
        <v>107</v>
      </c>
      <c r="AM50" s="64">
        <f>VLOOKUP($B50,[1]Sheet2!$B$4:$O$55,3,FALSE)</f>
        <v>7</v>
      </c>
      <c r="AN50" s="67">
        <f>VLOOKUP($B50,[1]Sheet2!$B$4:$O$55,4,FALSE)</f>
        <v>9</v>
      </c>
      <c r="AO50" s="60">
        <f t="shared" si="34"/>
        <v>16</v>
      </c>
      <c r="AP50" s="64">
        <f>VLOOKUP($B50,[1]Sheet2!$B$4:$O$55,6,FALSE)</f>
        <v>5</v>
      </c>
      <c r="AQ50" s="67">
        <f>VLOOKUP($B50,[1]Sheet2!$B$4:$O$55,7,FALSE)</f>
        <v>26</v>
      </c>
      <c r="AR50" s="60">
        <f t="shared" si="35"/>
        <v>31</v>
      </c>
      <c r="AS50" s="64">
        <f>VLOOKUP($B50,[1]Sheet2!$B$4:$O$55,9,FALSE)</f>
        <v>12</v>
      </c>
      <c r="AT50" s="67">
        <f>VLOOKUP($B50,[1]Sheet2!$B$4:$O$55,10,FALSE)</f>
        <v>48</v>
      </c>
      <c r="AU50" s="60">
        <f t="shared" si="36"/>
        <v>60</v>
      </c>
      <c r="AV50" s="64">
        <f t="shared" si="37"/>
        <v>11140</v>
      </c>
      <c r="AW50" s="67">
        <f t="shared" si="37"/>
        <v>118059</v>
      </c>
      <c r="AX50" s="60">
        <f t="shared" si="0"/>
        <v>129199</v>
      </c>
      <c r="AY50" s="64">
        <v>7191</v>
      </c>
      <c r="AZ50" s="67">
        <v>111028</v>
      </c>
      <c r="BA50" s="60">
        <f t="shared" si="1"/>
        <v>118219</v>
      </c>
      <c r="BB50" s="64">
        <v>2940</v>
      </c>
      <c r="BC50" s="67">
        <v>4697</v>
      </c>
      <c r="BD50" s="60">
        <f t="shared" si="2"/>
        <v>7637</v>
      </c>
      <c r="BE50" s="64">
        <v>1009</v>
      </c>
      <c r="BF50" s="67">
        <v>2334</v>
      </c>
      <c r="BG50" s="60">
        <f t="shared" si="3"/>
        <v>3343</v>
      </c>
      <c r="BH50" s="64">
        <f t="shared" si="38"/>
        <v>608</v>
      </c>
      <c r="BI50" s="67">
        <f t="shared" si="38"/>
        <v>724</v>
      </c>
      <c r="BJ50" s="60">
        <f t="shared" si="4"/>
        <v>1332</v>
      </c>
      <c r="BK50" s="64">
        <v>300</v>
      </c>
      <c r="BL50" s="67">
        <v>295</v>
      </c>
      <c r="BM50" s="60">
        <f t="shared" si="5"/>
        <v>595</v>
      </c>
      <c r="BN50" s="64">
        <v>211</v>
      </c>
      <c r="BO50" s="67">
        <v>227</v>
      </c>
      <c r="BP50" s="60">
        <f t="shared" si="6"/>
        <v>438</v>
      </c>
      <c r="BQ50" s="64">
        <v>97</v>
      </c>
      <c r="BR50" s="67">
        <v>202</v>
      </c>
      <c r="BS50" s="60">
        <f t="shared" si="7"/>
        <v>299</v>
      </c>
      <c r="BT50" s="64">
        <f t="shared" si="39"/>
        <v>217</v>
      </c>
      <c r="BU50" s="67">
        <f t="shared" si="39"/>
        <v>335</v>
      </c>
      <c r="BV50" s="60">
        <f t="shared" si="8"/>
        <v>552</v>
      </c>
      <c r="BW50" s="64">
        <v>143</v>
      </c>
      <c r="BX50" s="67">
        <v>196</v>
      </c>
      <c r="BY50" s="60">
        <f t="shared" si="9"/>
        <v>339</v>
      </c>
      <c r="BZ50" s="64">
        <v>55</v>
      </c>
      <c r="CA50" s="67">
        <v>88</v>
      </c>
      <c r="CB50" s="60">
        <f t="shared" si="10"/>
        <v>143</v>
      </c>
      <c r="CC50" s="64">
        <v>19</v>
      </c>
      <c r="CD50" s="67">
        <v>51</v>
      </c>
      <c r="CE50" s="60">
        <f t="shared" si="11"/>
        <v>70</v>
      </c>
      <c r="CF50" s="64">
        <f t="shared" si="40"/>
        <v>0</v>
      </c>
      <c r="CG50" s="67">
        <f t="shared" si="40"/>
        <v>0</v>
      </c>
      <c r="CH50" s="60">
        <f t="shared" si="12"/>
        <v>0</v>
      </c>
      <c r="CI50" s="64"/>
      <c r="CJ50" s="67"/>
      <c r="CK50" s="60">
        <f t="shared" si="13"/>
        <v>0</v>
      </c>
      <c r="CL50" s="64"/>
      <c r="CM50" s="67"/>
      <c r="CN50" s="60">
        <f t="shared" si="14"/>
        <v>0</v>
      </c>
      <c r="CO50" s="64"/>
      <c r="CP50" s="67"/>
      <c r="CQ50" s="60">
        <f t="shared" si="15"/>
        <v>0</v>
      </c>
    </row>
    <row r="51" spans="2:96">
      <c r="B51" s="61" t="s">
        <v>21</v>
      </c>
      <c r="C51" s="64">
        <f t="shared" si="20"/>
        <v>163</v>
      </c>
      <c r="D51" s="67">
        <f t="shared" si="20"/>
        <v>156</v>
      </c>
      <c r="E51" s="60">
        <f t="shared" si="21"/>
        <v>319</v>
      </c>
      <c r="F51" s="64">
        <v>58</v>
      </c>
      <c r="G51" s="67">
        <v>41</v>
      </c>
      <c r="H51" s="60">
        <f t="shared" si="22"/>
        <v>99</v>
      </c>
      <c r="I51" s="64">
        <v>50</v>
      </c>
      <c r="J51" s="67">
        <v>46</v>
      </c>
      <c r="K51" s="60">
        <f t="shared" si="23"/>
        <v>96</v>
      </c>
      <c r="L51" s="64">
        <v>55</v>
      </c>
      <c r="M51" s="67">
        <v>69</v>
      </c>
      <c r="N51" s="60">
        <f t="shared" si="24"/>
        <v>124</v>
      </c>
      <c r="O51" s="64" t="s">
        <v>412</v>
      </c>
      <c r="P51" s="67" t="s">
        <v>412</v>
      </c>
      <c r="Q51" s="69"/>
      <c r="R51" s="64" t="s">
        <v>389</v>
      </c>
      <c r="S51" s="67" t="s">
        <v>389</v>
      </c>
      <c r="T51" s="69"/>
      <c r="U51" s="64" t="s">
        <v>389</v>
      </c>
      <c r="V51" s="67" t="s">
        <v>389</v>
      </c>
      <c r="W51" s="69"/>
      <c r="X51" s="64">
        <f t="shared" si="25"/>
        <v>40</v>
      </c>
      <c r="Y51" s="67">
        <f t="shared" si="26"/>
        <v>99</v>
      </c>
      <c r="Z51" s="60">
        <f t="shared" si="27"/>
        <v>139</v>
      </c>
      <c r="AA51" s="64">
        <f>VLOOKUP($B51,[1]Sheet1!$B$4:$O$55,3,FALSE)</f>
        <v>9</v>
      </c>
      <c r="AB51" s="67">
        <f>VLOOKUP($B51,[1]Sheet1!$B$4:$O$55,4,FALSE)</f>
        <v>12</v>
      </c>
      <c r="AC51" s="60">
        <f t="shared" si="28"/>
        <v>21</v>
      </c>
      <c r="AD51" s="64">
        <f>VLOOKUP($B51,[1]Sheet1!$B$4:$O$55,6,FALSE)</f>
        <v>21</v>
      </c>
      <c r="AE51" s="67">
        <f>VLOOKUP($B51,[1]Sheet1!$B$4:$O$55,7,FALSE)</f>
        <v>29</v>
      </c>
      <c r="AF51" s="60">
        <f t="shared" si="29"/>
        <v>50</v>
      </c>
      <c r="AG51" s="64">
        <f>VLOOKUP($B51,[1]Sheet1!$B$4:$O$55,9,FALSE)</f>
        <v>10</v>
      </c>
      <c r="AH51" s="67">
        <f>VLOOKUP($B51,[1]Sheet1!$B$4:$O$55,10,FALSE)</f>
        <v>58</v>
      </c>
      <c r="AI51" s="60">
        <f t="shared" si="30"/>
        <v>68</v>
      </c>
      <c r="AJ51" s="64">
        <f t="shared" si="31"/>
        <v>10</v>
      </c>
      <c r="AK51" s="67">
        <f t="shared" si="32"/>
        <v>17</v>
      </c>
      <c r="AL51" s="60">
        <f t="shared" si="33"/>
        <v>27</v>
      </c>
      <c r="AM51" s="64">
        <f>VLOOKUP($B51,[1]Sheet2!$B$4:$O$55,3,FALSE)</f>
        <v>3</v>
      </c>
      <c r="AN51" s="67">
        <f>VLOOKUP($B51,[1]Sheet2!$B$4:$O$55,4,FALSE)</f>
        <v>3</v>
      </c>
      <c r="AO51" s="60">
        <f t="shared" si="34"/>
        <v>6</v>
      </c>
      <c r="AP51" s="64">
        <f>VLOOKUP($B51,[1]Sheet2!$B$4:$O$55,6,FALSE)</f>
        <v>5</v>
      </c>
      <c r="AQ51" s="67">
        <f>VLOOKUP($B51,[1]Sheet2!$B$4:$O$55,7,FALSE)</f>
        <v>5</v>
      </c>
      <c r="AR51" s="60">
        <f t="shared" si="35"/>
        <v>10</v>
      </c>
      <c r="AS51" s="64">
        <f>VLOOKUP($B51,[1]Sheet2!$B$4:$O$55,9,FALSE)</f>
        <v>2</v>
      </c>
      <c r="AT51" s="67">
        <f>VLOOKUP($B51,[1]Sheet2!$B$4:$O$55,10,FALSE)</f>
        <v>9</v>
      </c>
      <c r="AU51" s="60">
        <f t="shared" si="36"/>
        <v>11</v>
      </c>
      <c r="AV51" s="64">
        <f t="shared" si="37"/>
        <v>8013</v>
      </c>
      <c r="AW51" s="67">
        <f t="shared" si="37"/>
        <v>12187</v>
      </c>
      <c r="AX51" s="60">
        <f t="shared" si="0"/>
        <v>20200</v>
      </c>
      <c r="AY51" s="64">
        <v>5370</v>
      </c>
      <c r="AZ51" s="67">
        <v>7601</v>
      </c>
      <c r="BA51" s="60">
        <f t="shared" si="1"/>
        <v>12971</v>
      </c>
      <c r="BB51" s="64">
        <v>2000</v>
      </c>
      <c r="BC51" s="67">
        <v>3234</v>
      </c>
      <c r="BD51" s="60">
        <f t="shared" si="2"/>
        <v>5234</v>
      </c>
      <c r="BE51" s="64">
        <v>643</v>
      </c>
      <c r="BF51" s="67">
        <v>1352</v>
      </c>
      <c r="BG51" s="60">
        <f t="shared" si="3"/>
        <v>1995</v>
      </c>
      <c r="BH51" s="64">
        <f t="shared" si="38"/>
        <v>0</v>
      </c>
      <c r="BI51" s="67">
        <f t="shared" si="38"/>
        <v>0</v>
      </c>
      <c r="BJ51" s="60">
        <f t="shared" si="4"/>
        <v>0</v>
      </c>
      <c r="BK51" s="64"/>
      <c r="BL51" s="67"/>
      <c r="BM51" s="60">
        <f t="shared" si="5"/>
        <v>0</v>
      </c>
      <c r="BN51" s="64"/>
      <c r="BO51" s="67"/>
      <c r="BP51" s="60">
        <f t="shared" si="6"/>
        <v>0</v>
      </c>
      <c r="BQ51" s="64"/>
      <c r="BR51" s="67"/>
      <c r="BS51" s="60">
        <f t="shared" si="7"/>
        <v>0</v>
      </c>
      <c r="BT51" s="64">
        <f t="shared" si="39"/>
        <v>2171</v>
      </c>
      <c r="BU51" s="67">
        <f t="shared" si="39"/>
        <v>3562</v>
      </c>
      <c r="BV51" s="60">
        <f t="shared" si="8"/>
        <v>5733</v>
      </c>
      <c r="BW51" s="64">
        <v>2091</v>
      </c>
      <c r="BX51" s="67">
        <v>3412</v>
      </c>
      <c r="BY51" s="60">
        <f t="shared" si="9"/>
        <v>5503</v>
      </c>
      <c r="BZ51" s="64">
        <v>57</v>
      </c>
      <c r="CA51" s="67">
        <v>93</v>
      </c>
      <c r="CB51" s="60">
        <f t="shared" si="10"/>
        <v>150</v>
      </c>
      <c r="CC51" s="64">
        <v>23</v>
      </c>
      <c r="CD51" s="67">
        <v>57</v>
      </c>
      <c r="CE51" s="60">
        <f t="shared" si="11"/>
        <v>80</v>
      </c>
      <c r="CF51" s="64">
        <f t="shared" si="40"/>
        <v>0</v>
      </c>
      <c r="CG51" s="67">
        <f t="shared" si="40"/>
        <v>0</v>
      </c>
      <c r="CH51" s="60">
        <f t="shared" si="12"/>
        <v>0</v>
      </c>
      <c r="CI51" s="64"/>
      <c r="CJ51" s="67"/>
      <c r="CK51" s="60">
        <f t="shared" si="13"/>
        <v>0</v>
      </c>
      <c r="CL51" s="64"/>
      <c r="CM51" s="67"/>
      <c r="CN51" s="60">
        <f t="shared" si="14"/>
        <v>0</v>
      </c>
      <c r="CO51" s="64"/>
      <c r="CP51" s="67"/>
      <c r="CQ51" s="60">
        <f t="shared" si="15"/>
        <v>0</v>
      </c>
      <c r="CR51" s="56" t="s">
        <v>382</v>
      </c>
    </row>
    <row r="52" spans="2:96">
      <c r="B52" s="61" t="s">
        <v>22</v>
      </c>
      <c r="C52" s="64">
        <f t="shared" si="20"/>
        <v>0</v>
      </c>
      <c r="D52" s="67">
        <f t="shared" si="20"/>
        <v>0</v>
      </c>
      <c r="E52" s="60">
        <f t="shared" si="21"/>
        <v>0</v>
      </c>
      <c r="F52" s="64"/>
      <c r="G52" s="67"/>
      <c r="H52" s="60">
        <f t="shared" si="22"/>
        <v>0</v>
      </c>
      <c r="I52" s="64"/>
      <c r="J52" s="67"/>
      <c r="K52" s="60">
        <f t="shared" si="23"/>
        <v>0</v>
      </c>
      <c r="L52" s="64"/>
      <c r="M52" s="67"/>
      <c r="N52" s="60">
        <f t="shared" si="24"/>
        <v>0</v>
      </c>
      <c r="O52" s="64"/>
      <c r="P52" s="67"/>
      <c r="Q52" s="69"/>
      <c r="R52" s="64"/>
      <c r="S52" s="67"/>
      <c r="T52" s="69"/>
      <c r="U52" s="64"/>
      <c r="V52" s="67"/>
      <c r="W52" s="69"/>
      <c r="X52" s="64">
        <f t="shared" si="25"/>
        <v>26</v>
      </c>
      <c r="Y52" s="67">
        <f t="shared" si="26"/>
        <v>58</v>
      </c>
      <c r="Z52" s="60">
        <f t="shared" si="27"/>
        <v>84</v>
      </c>
      <c r="AA52" s="64">
        <f>VLOOKUP($B52,[1]Sheet1!$B$4:$O$55,3,FALSE)</f>
        <v>8</v>
      </c>
      <c r="AB52" s="67">
        <f>VLOOKUP($B52,[1]Sheet1!$B$4:$O$55,4,FALSE)</f>
        <v>9</v>
      </c>
      <c r="AC52" s="60">
        <f t="shared" si="28"/>
        <v>17</v>
      </c>
      <c r="AD52" s="64">
        <f>VLOOKUP($B52,[1]Sheet1!$B$4:$O$55,6,FALSE)</f>
        <v>13</v>
      </c>
      <c r="AE52" s="67">
        <f>VLOOKUP($B52,[1]Sheet1!$B$4:$O$55,7,FALSE)</f>
        <v>21</v>
      </c>
      <c r="AF52" s="60">
        <f t="shared" si="29"/>
        <v>34</v>
      </c>
      <c r="AG52" s="64">
        <f>VLOOKUP($B52,[1]Sheet1!$B$4:$O$55,9,FALSE)</f>
        <v>5</v>
      </c>
      <c r="AH52" s="67">
        <f>VLOOKUP($B52,[1]Sheet1!$B$4:$O$55,10,FALSE)</f>
        <v>28</v>
      </c>
      <c r="AI52" s="60">
        <f t="shared" si="30"/>
        <v>33</v>
      </c>
      <c r="AJ52" s="64">
        <f t="shared" si="31"/>
        <v>5</v>
      </c>
      <c r="AK52" s="67">
        <f t="shared" si="32"/>
        <v>8</v>
      </c>
      <c r="AL52" s="60">
        <f t="shared" si="33"/>
        <v>13</v>
      </c>
      <c r="AM52" s="64">
        <f>VLOOKUP($B52,[1]Sheet2!$B$4:$O$55,3,FALSE)</f>
        <v>2</v>
      </c>
      <c r="AN52" s="67">
        <f>VLOOKUP($B52,[1]Sheet2!$B$4:$O$55,4,FALSE)</f>
        <v>2</v>
      </c>
      <c r="AO52" s="60">
        <f t="shared" si="34"/>
        <v>4</v>
      </c>
      <c r="AP52" s="64">
        <f>VLOOKUP($B52,[1]Sheet2!$B$4:$O$55,6,FALSE)</f>
        <v>3</v>
      </c>
      <c r="AQ52" s="67">
        <f>VLOOKUP($B52,[1]Sheet2!$B$4:$O$55,7,FALSE)</f>
        <v>1</v>
      </c>
      <c r="AR52" s="60">
        <f t="shared" si="35"/>
        <v>4</v>
      </c>
      <c r="AS52" s="64">
        <f>VLOOKUP($B52,[1]Sheet2!$B$4:$O$55,9,FALSE)</f>
        <v>0</v>
      </c>
      <c r="AT52" s="67">
        <f>VLOOKUP($B52,[1]Sheet2!$B$4:$O$55,10,FALSE)</f>
        <v>5</v>
      </c>
      <c r="AU52" s="60">
        <f t="shared" si="36"/>
        <v>5</v>
      </c>
      <c r="AV52" s="64">
        <f t="shared" si="37"/>
        <v>7</v>
      </c>
      <c r="AW52" s="67">
        <f t="shared" si="37"/>
        <v>21</v>
      </c>
      <c r="AX52" s="60">
        <f t="shared" si="0"/>
        <v>28</v>
      </c>
      <c r="AY52" s="64">
        <v>4</v>
      </c>
      <c r="AZ52" s="67">
        <v>6</v>
      </c>
      <c r="BA52" s="60">
        <f t="shared" si="1"/>
        <v>10</v>
      </c>
      <c r="BB52" s="64">
        <v>3</v>
      </c>
      <c r="BC52" s="67">
        <v>6</v>
      </c>
      <c r="BD52" s="60">
        <f t="shared" si="2"/>
        <v>9</v>
      </c>
      <c r="BE52" s="64"/>
      <c r="BF52" s="67">
        <v>9</v>
      </c>
      <c r="BG52" s="60">
        <f t="shared" si="3"/>
        <v>9</v>
      </c>
      <c r="BH52" s="64">
        <f t="shared" si="38"/>
        <v>0</v>
      </c>
      <c r="BI52" s="67">
        <f t="shared" si="38"/>
        <v>0</v>
      </c>
      <c r="BJ52" s="60">
        <f t="shared" si="4"/>
        <v>0</v>
      </c>
      <c r="BK52" s="64"/>
      <c r="BL52" s="67"/>
      <c r="BM52" s="60">
        <f t="shared" si="5"/>
        <v>0</v>
      </c>
      <c r="BN52" s="64"/>
      <c r="BO52" s="67"/>
      <c r="BP52" s="60">
        <f t="shared" si="6"/>
        <v>0</v>
      </c>
      <c r="BQ52" s="64"/>
      <c r="BR52" s="67"/>
      <c r="BS52" s="60">
        <f t="shared" si="7"/>
        <v>0</v>
      </c>
      <c r="BT52" s="64">
        <f t="shared" si="39"/>
        <v>0</v>
      </c>
      <c r="BU52" s="67">
        <f t="shared" si="39"/>
        <v>0</v>
      </c>
      <c r="BV52" s="60">
        <f t="shared" si="8"/>
        <v>0</v>
      </c>
      <c r="BW52" s="64"/>
      <c r="BX52" s="67"/>
      <c r="BY52" s="60">
        <f t="shared" si="9"/>
        <v>0</v>
      </c>
      <c r="BZ52" s="64"/>
      <c r="CA52" s="67"/>
      <c r="CB52" s="60">
        <f t="shared" si="10"/>
        <v>0</v>
      </c>
      <c r="CC52" s="64"/>
      <c r="CD52" s="67"/>
      <c r="CE52" s="60">
        <f t="shared" si="11"/>
        <v>0</v>
      </c>
      <c r="CF52" s="64">
        <f t="shared" si="40"/>
        <v>0</v>
      </c>
      <c r="CG52" s="67">
        <f t="shared" si="40"/>
        <v>0</v>
      </c>
      <c r="CH52" s="60">
        <f t="shared" si="12"/>
        <v>0</v>
      </c>
      <c r="CI52" s="64"/>
      <c r="CJ52" s="67"/>
      <c r="CK52" s="60">
        <f t="shared" si="13"/>
        <v>0</v>
      </c>
      <c r="CL52" s="64"/>
      <c r="CM52" s="67"/>
      <c r="CN52" s="60">
        <f t="shared" si="14"/>
        <v>0</v>
      </c>
      <c r="CO52" s="64"/>
      <c r="CP52" s="67"/>
      <c r="CQ52" s="60">
        <f t="shared" si="15"/>
        <v>0</v>
      </c>
    </row>
    <row r="53" spans="2:96">
      <c r="B53" s="61" t="s">
        <v>23</v>
      </c>
      <c r="C53" s="64">
        <f t="shared" si="20"/>
        <v>13</v>
      </c>
      <c r="D53" s="67">
        <f t="shared" si="20"/>
        <v>16</v>
      </c>
      <c r="E53" s="60">
        <f t="shared" si="21"/>
        <v>29</v>
      </c>
      <c r="F53" s="64">
        <v>5</v>
      </c>
      <c r="G53" s="67">
        <v>3</v>
      </c>
      <c r="H53" s="60">
        <f t="shared" si="22"/>
        <v>8</v>
      </c>
      <c r="I53" s="64">
        <v>6</v>
      </c>
      <c r="J53" s="67">
        <v>4</v>
      </c>
      <c r="K53" s="60">
        <f t="shared" si="23"/>
        <v>10</v>
      </c>
      <c r="L53" s="64">
        <v>2</v>
      </c>
      <c r="M53" s="67">
        <v>9</v>
      </c>
      <c r="N53" s="60">
        <f t="shared" si="24"/>
        <v>11</v>
      </c>
      <c r="O53" s="64" t="s">
        <v>413</v>
      </c>
      <c r="P53" s="67" t="s">
        <v>414</v>
      </c>
      <c r="Q53" s="69"/>
      <c r="R53" s="64" t="s">
        <v>96</v>
      </c>
      <c r="S53" s="67" t="s">
        <v>414</v>
      </c>
      <c r="T53" s="69"/>
      <c r="U53" s="64" t="s">
        <v>414</v>
      </c>
      <c r="V53" s="67" t="s">
        <v>414</v>
      </c>
      <c r="W53" s="69"/>
      <c r="X53" s="64">
        <f t="shared" si="25"/>
        <v>55</v>
      </c>
      <c r="Y53" s="67">
        <f t="shared" si="26"/>
        <v>78</v>
      </c>
      <c r="Z53" s="60">
        <f t="shared" si="27"/>
        <v>133</v>
      </c>
      <c r="AA53" s="64">
        <f>VLOOKUP($B53,[1]Sheet1!$B$4:$O$55,3,FALSE)</f>
        <v>14</v>
      </c>
      <c r="AB53" s="67">
        <f>VLOOKUP($B53,[1]Sheet1!$B$4:$O$55,4,FALSE)</f>
        <v>17</v>
      </c>
      <c r="AC53" s="60">
        <f t="shared" si="28"/>
        <v>31</v>
      </c>
      <c r="AD53" s="64">
        <f>VLOOKUP($B53,[1]Sheet1!$B$4:$O$55,6,FALSE)</f>
        <v>28</v>
      </c>
      <c r="AE53" s="67">
        <f>VLOOKUP($B53,[1]Sheet1!$B$4:$O$55,7,FALSE)</f>
        <v>22</v>
      </c>
      <c r="AF53" s="60">
        <f t="shared" si="29"/>
        <v>50</v>
      </c>
      <c r="AG53" s="64">
        <f>VLOOKUP($B53,[1]Sheet1!$B$4:$O$55,9,FALSE)</f>
        <v>13</v>
      </c>
      <c r="AH53" s="67">
        <f>VLOOKUP($B53,[1]Sheet1!$B$4:$O$55,10,FALSE)</f>
        <v>39</v>
      </c>
      <c r="AI53" s="60">
        <f t="shared" si="30"/>
        <v>52</v>
      </c>
      <c r="AJ53" s="64">
        <f t="shared" si="31"/>
        <v>30</v>
      </c>
      <c r="AK53" s="67">
        <f t="shared" si="32"/>
        <v>51</v>
      </c>
      <c r="AL53" s="60">
        <f t="shared" si="33"/>
        <v>81</v>
      </c>
      <c r="AM53" s="64">
        <f>VLOOKUP($B53,[1]Sheet2!$B$4:$O$55,3,FALSE)</f>
        <v>6</v>
      </c>
      <c r="AN53" s="67">
        <f>VLOOKUP($B53,[1]Sheet2!$B$4:$O$55,4,FALSE)</f>
        <v>14</v>
      </c>
      <c r="AO53" s="60">
        <f t="shared" si="34"/>
        <v>20</v>
      </c>
      <c r="AP53" s="64">
        <f>VLOOKUP($B53,[1]Sheet2!$B$4:$O$55,6,FALSE)</f>
        <v>16</v>
      </c>
      <c r="AQ53" s="67">
        <f>VLOOKUP($B53,[1]Sheet2!$B$4:$O$55,7,FALSE)</f>
        <v>15</v>
      </c>
      <c r="AR53" s="60">
        <f t="shared" si="35"/>
        <v>31</v>
      </c>
      <c r="AS53" s="64">
        <f>VLOOKUP($B53,[1]Sheet2!$B$4:$O$55,9,FALSE)</f>
        <v>8</v>
      </c>
      <c r="AT53" s="67">
        <f>VLOOKUP($B53,[1]Sheet2!$B$4:$O$55,10,FALSE)</f>
        <v>22</v>
      </c>
      <c r="AU53" s="60">
        <f t="shared" si="36"/>
        <v>30</v>
      </c>
      <c r="AV53" s="64">
        <f t="shared" si="37"/>
        <v>0</v>
      </c>
      <c r="AW53" s="67">
        <f t="shared" si="37"/>
        <v>0</v>
      </c>
      <c r="AX53" s="60">
        <f t="shared" si="0"/>
        <v>0</v>
      </c>
      <c r="AY53" s="64"/>
      <c r="AZ53" s="67"/>
      <c r="BA53" s="60">
        <f t="shared" si="1"/>
        <v>0</v>
      </c>
      <c r="BB53" s="64"/>
      <c r="BC53" s="67"/>
      <c r="BD53" s="60">
        <f t="shared" si="2"/>
        <v>0</v>
      </c>
      <c r="BE53" s="64"/>
      <c r="BF53" s="67"/>
      <c r="BG53" s="60">
        <f t="shared" si="3"/>
        <v>0</v>
      </c>
      <c r="BH53" s="64">
        <f t="shared" si="38"/>
        <v>0</v>
      </c>
      <c r="BI53" s="67">
        <f t="shared" si="38"/>
        <v>0</v>
      </c>
      <c r="BJ53" s="60">
        <f t="shared" si="4"/>
        <v>0</v>
      </c>
      <c r="BK53" s="64"/>
      <c r="BL53" s="67"/>
      <c r="BM53" s="60">
        <f t="shared" si="5"/>
        <v>0</v>
      </c>
      <c r="BN53" s="64"/>
      <c r="BO53" s="67"/>
      <c r="BP53" s="60">
        <f t="shared" si="6"/>
        <v>0</v>
      </c>
      <c r="BQ53" s="64"/>
      <c r="BR53" s="67"/>
      <c r="BS53" s="60">
        <f t="shared" si="7"/>
        <v>0</v>
      </c>
      <c r="BT53" s="64">
        <f t="shared" si="39"/>
        <v>0</v>
      </c>
      <c r="BU53" s="67">
        <f t="shared" si="39"/>
        <v>0</v>
      </c>
      <c r="BV53" s="60">
        <f t="shared" si="8"/>
        <v>0</v>
      </c>
      <c r="BW53" s="64"/>
      <c r="BX53" s="67"/>
      <c r="BY53" s="60">
        <f t="shared" si="9"/>
        <v>0</v>
      </c>
      <c r="BZ53" s="64"/>
      <c r="CA53" s="67"/>
      <c r="CB53" s="60">
        <f t="shared" si="10"/>
        <v>0</v>
      </c>
      <c r="CC53" s="64"/>
      <c r="CD53" s="67"/>
      <c r="CE53" s="60">
        <f t="shared" si="11"/>
        <v>0</v>
      </c>
      <c r="CF53" s="64">
        <f t="shared" si="40"/>
        <v>169</v>
      </c>
      <c r="CG53" s="67">
        <f t="shared" si="40"/>
        <v>227</v>
      </c>
      <c r="CH53" s="60">
        <f t="shared" si="12"/>
        <v>396</v>
      </c>
      <c r="CI53" s="64">
        <v>95</v>
      </c>
      <c r="CJ53" s="67">
        <v>113</v>
      </c>
      <c r="CK53" s="60">
        <f t="shared" si="13"/>
        <v>208</v>
      </c>
      <c r="CL53" s="64">
        <v>58</v>
      </c>
      <c r="CM53" s="67">
        <v>84</v>
      </c>
      <c r="CN53" s="60">
        <f t="shared" si="14"/>
        <v>142</v>
      </c>
      <c r="CO53" s="64">
        <v>16</v>
      </c>
      <c r="CP53" s="67">
        <v>30</v>
      </c>
      <c r="CQ53" s="60">
        <f t="shared" si="15"/>
        <v>46</v>
      </c>
    </row>
    <row r="54" spans="2:96">
      <c r="B54" s="61" t="s">
        <v>24</v>
      </c>
      <c r="C54" s="64">
        <f t="shared" si="20"/>
        <v>117</v>
      </c>
      <c r="D54" s="67">
        <f t="shared" si="20"/>
        <v>106</v>
      </c>
      <c r="E54" s="60">
        <f t="shared" si="21"/>
        <v>223</v>
      </c>
      <c r="F54" s="64">
        <v>42</v>
      </c>
      <c r="G54" s="67">
        <v>27</v>
      </c>
      <c r="H54" s="60">
        <f t="shared" si="22"/>
        <v>69</v>
      </c>
      <c r="I54" s="64">
        <v>49</v>
      </c>
      <c r="J54" s="67">
        <v>36</v>
      </c>
      <c r="K54" s="60">
        <f t="shared" si="23"/>
        <v>85</v>
      </c>
      <c r="L54" s="64">
        <v>26</v>
      </c>
      <c r="M54" s="67">
        <v>43</v>
      </c>
      <c r="N54" s="60">
        <f t="shared" si="24"/>
        <v>69</v>
      </c>
      <c r="O54" s="64" t="s">
        <v>97</v>
      </c>
      <c r="P54" s="67" t="s">
        <v>97</v>
      </c>
      <c r="Q54" s="69"/>
      <c r="R54" s="64" t="s">
        <v>415</v>
      </c>
      <c r="S54" s="67" t="s">
        <v>389</v>
      </c>
      <c r="T54" s="69"/>
      <c r="U54" s="64" t="s">
        <v>412</v>
      </c>
      <c r="V54" s="67" t="s">
        <v>389</v>
      </c>
      <c r="W54" s="69"/>
      <c r="X54" s="64">
        <f t="shared" si="25"/>
        <v>64</v>
      </c>
      <c r="Y54" s="67">
        <f t="shared" si="26"/>
        <v>108</v>
      </c>
      <c r="Z54" s="60">
        <f t="shared" si="27"/>
        <v>172</v>
      </c>
      <c r="AA54" s="64">
        <f>VLOOKUP($B54,[1]Sheet1!$B$4:$O$55,3,FALSE)</f>
        <v>22</v>
      </c>
      <c r="AB54" s="67">
        <f>VLOOKUP($B54,[1]Sheet1!$B$4:$O$55,4,FALSE)</f>
        <v>24</v>
      </c>
      <c r="AC54" s="60">
        <f t="shared" si="28"/>
        <v>46</v>
      </c>
      <c r="AD54" s="64">
        <f>VLOOKUP($B54,[1]Sheet1!$B$4:$O$55,6,FALSE)</f>
        <v>16</v>
      </c>
      <c r="AE54" s="67">
        <f>VLOOKUP($B54,[1]Sheet1!$B$4:$O$55,7,FALSE)</f>
        <v>43</v>
      </c>
      <c r="AF54" s="60">
        <f t="shared" si="29"/>
        <v>59</v>
      </c>
      <c r="AG54" s="64">
        <f>VLOOKUP($B54,[1]Sheet1!$B$4:$O$55,9,FALSE)</f>
        <v>26</v>
      </c>
      <c r="AH54" s="67">
        <f>VLOOKUP($B54,[1]Sheet1!$B$4:$O$55,10,FALSE)</f>
        <v>41</v>
      </c>
      <c r="AI54" s="60">
        <f t="shared" si="30"/>
        <v>67</v>
      </c>
      <c r="AJ54" s="64">
        <f t="shared" si="31"/>
        <v>19</v>
      </c>
      <c r="AK54" s="67">
        <f t="shared" si="32"/>
        <v>48</v>
      </c>
      <c r="AL54" s="60">
        <f t="shared" si="33"/>
        <v>67</v>
      </c>
      <c r="AM54" s="64">
        <f>VLOOKUP($B54,[1]Sheet2!$B$4:$O$55,3,FALSE)</f>
        <v>7</v>
      </c>
      <c r="AN54" s="67">
        <f>VLOOKUP($B54,[1]Sheet2!$B$4:$O$55,4,FALSE)</f>
        <v>9</v>
      </c>
      <c r="AO54" s="60">
        <f t="shared" si="34"/>
        <v>16</v>
      </c>
      <c r="AP54" s="64">
        <f>VLOOKUP($B54,[1]Sheet2!$B$4:$O$55,6,FALSE)</f>
        <v>5</v>
      </c>
      <c r="AQ54" s="67">
        <f>VLOOKUP($B54,[1]Sheet2!$B$4:$O$55,7,FALSE)</f>
        <v>24</v>
      </c>
      <c r="AR54" s="60">
        <f t="shared" si="35"/>
        <v>29</v>
      </c>
      <c r="AS54" s="64">
        <f>VLOOKUP($B54,[1]Sheet2!$B$4:$O$55,9,FALSE)</f>
        <v>7</v>
      </c>
      <c r="AT54" s="67">
        <f>VLOOKUP($B54,[1]Sheet2!$B$4:$O$55,10,FALSE)</f>
        <v>15</v>
      </c>
      <c r="AU54" s="60">
        <f t="shared" si="36"/>
        <v>22</v>
      </c>
      <c r="AV54" s="64">
        <f t="shared" si="37"/>
        <v>4992</v>
      </c>
      <c r="AW54" s="67">
        <f t="shared" si="37"/>
        <v>7669</v>
      </c>
      <c r="AX54" s="60">
        <f t="shared" si="0"/>
        <v>12661</v>
      </c>
      <c r="AY54" s="64">
        <v>3179</v>
      </c>
      <c r="AZ54" s="67">
        <v>4537</v>
      </c>
      <c r="BA54" s="60">
        <f t="shared" si="1"/>
        <v>7716</v>
      </c>
      <c r="BB54" s="64">
        <v>1363</v>
      </c>
      <c r="BC54" s="67">
        <v>2144</v>
      </c>
      <c r="BD54" s="60">
        <f t="shared" si="2"/>
        <v>3507</v>
      </c>
      <c r="BE54" s="64">
        <v>450</v>
      </c>
      <c r="BF54" s="67">
        <v>988</v>
      </c>
      <c r="BG54" s="60">
        <f t="shared" si="3"/>
        <v>1438</v>
      </c>
      <c r="BH54" s="64">
        <f t="shared" si="38"/>
        <v>295</v>
      </c>
      <c r="BI54" s="67">
        <f t="shared" si="38"/>
        <v>345</v>
      </c>
      <c r="BJ54" s="60">
        <f t="shared" si="4"/>
        <v>640</v>
      </c>
      <c r="BK54" s="64">
        <v>150</v>
      </c>
      <c r="BL54" s="67">
        <v>132</v>
      </c>
      <c r="BM54" s="60">
        <f t="shared" si="5"/>
        <v>282</v>
      </c>
      <c r="BN54" s="64">
        <v>11</v>
      </c>
      <c r="BO54" s="67">
        <v>14</v>
      </c>
      <c r="BP54" s="60">
        <f t="shared" si="6"/>
        <v>25</v>
      </c>
      <c r="BQ54" s="64">
        <v>134</v>
      </c>
      <c r="BR54" s="67">
        <v>199</v>
      </c>
      <c r="BS54" s="60">
        <f t="shared" si="7"/>
        <v>333</v>
      </c>
      <c r="BT54" s="64">
        <f t="shared" si="39"/>
        <v>1504</v>
      </c>
      <c r="BU54" s="67">
        <f t="shared" si="39"/>
        <v>2401</v>
      </c>
      <c r="BV54" s="60">
        <f t="shared" si="8"/>
        <v>3905</v>
      </c>
      <c r="BW54" s="64">
        <v>953</v>
      </c>
      <c r="BX54" s="67">
        <v>1467</v>
      </c>
      <c r="BY54" s="60">
        <f t="shared" si="9"/>
        <v>2420</v>
      </c>
      <c r="BZ54" s="64">
        <v>439</v>
      </c>
      <c r="CA54" s="67">
        <v>695</v>
      </c>
      <c r="CB54" s="60">
        <f t="shared" si="10"/>
        <v>1134</v>
      </c>
      <c r="CC54" s="64">
        <v>112</v>
      </c>
      <c r="CD54" s="67">
        <v>239</v>
      </c>
      <c r="CE54" s="60">
        <f t="shared" si="11"/>
        <v>351</v>
      </c>
      <c r="CF54" s="64">
        <f t="shared" si="40"/>
        <v>126</v>
      </c>
      <c r="CG54" s="67">
        <f t="shared" si="40"/>
        <v>173</v>
      </c>
      <c r="CH54" s="60">
        <f t="shared" si="12"/>
        <v>299</v>
      </c>
      <c r="CI54" s="64">
        <v>82</v>
      </c>
      <c r="CJ54" s="67">
        <v>105</v>
      </c>
      <c r="CK54" s="60">
        <f t="shared" si="13"/>
        <v>187</v>
      </c>
      <c r="CL54" s="64">
        <v>32</v>
      </c>
      <c r="CM54" s="67">
        <v>54</v>
      </c>
      <c r="CN54" s="60">
        <f t="shared" si="14"/>
        <v>86</v>
      </c>
      <c r="CO54" s="64">
        <v>12</v>
      </c>
      <c r="CP54" s="67">
        <v>14</v>
      </c>
      <c r="CQ54" s="60">
        <f t="shared" si="15"/>
        <v>26</v>
      </c>
    </row>
    <row r="55" spans="2:96">
      <c r="B55" s="61" t="s">
        <v>25</v>
      </c>
      <c r="C55" s="64">
        <f t="shared" si="20"/>
        <v>29</v>
      </c>
      <c r="D55" s="67">
        <f t="shared" si="20"/>
        <v>52</v>
      </c>
      <c r="E55" s="60">
        <f t="shared" si="21"/>
        <v>81</v>
      </c>
      <c r="F55" s="64">
        <v>3</v>
      </c>
      <c r="G55" s="67">
        <v>8</v>
      </c>
      <c r="H55" s="60">
        <f t="shared" si="22"/>
        <v>11</v>
      </c>
      <c r="I55" s="64">
        <v>10</v>
      </c>
      <c r="J55" s="67">
        <v>11</v>
      </c>
      <c r="K55" s="60">
        <f t="shared" si="23"/>
        <v>21</v>
      </c>
      <c r="L55" s="64">
        <v>16</v>
      </c>
      <c r="M55" s="67">
        <v>33</v>
      </c>
      <c r="N55" s="60">
        <f t="shared" si="24"/>
        <v>49</v>
      </c>
      <c r="O55" s="64" t="s">
        <v>95</v>
      </c>
      <c r="P55" s="67" t="s">
        <v>95</v>
      </c>
      <c r="Q55" s="69"/>
      <c r="R55" s="64" t="s">
        <v>416</v>
      </c>
      <c r="S55" s="67" t="s">
        <v>416</v>
      </c>
      <c r="T55" s="69"/>
      <c r="U55" s="64" t="s">
        <v>416</v>
      </c>
      <c r="V55" s="67" t="s">
        <v>416</v>
      </c>
      <c r="W55" s="69"/>
      <c r="X55" s="64">
        <f t="shared" si="25"/>
        <v>100</v>
      </c>
      <c r="Y55" s="67">
        <f t="shared" si="26"/>
        <v>141</v>
      </c>
      <c r="Z55" s="60">
        <f t="shared" si="27"/>
        <v>241</v>
      </c>
      <c r="AA55" s="64">
        <f>VLOOKUP($B55,[1]Sheet1!$B$4:$O$55,3,FALSE)</f>
        <v>27</v>
      </c>
      <c r="AB55" s="67">
        <f>VLOOKUP($B55,[1]Sheet1!$B$4:$O$55,4,FALSE)</f>
        <v>22</v>
      </c>
      <c r="AC55" s="60">
        <f t="shared" si="28"/>
        <v>49</v>
      </c>
      <c r="AD55" s="64">
        <f>VLOOKUP($B55,[1]Sheet1!$B$4:$O$55,6,FALSE)</f>
        <v>35</v>
      </c>
      <c r="AE55" s="67">
        <f>VLOOKUP($B55,[1]Sheet1!$B$4:$O$55,7,FALSE)</f>
        <v>43</v>
      </c>
      <c r="AF55" s="60">
        <f t="shared" si="29"/>
        <v>78</v>
      </c>
      <c r="AG55" s="64">
        <f>VLOOKUP($B55,[1]Sheet1!$B$4:$O$55,9,FALSE)</f>
        <v>38</v>
      </c>
      <c r="AH55" s="67">
        <f>VLOOKUP($B55,[1]Sheet1!$B$4:$O$55,10,FALSE)</f>
        <v>76</v>
      </c>
      <c r="AI55" s="60">
        <f t="shared" si="30"/>
        <v>114</v>
      </c>
      <c r="AJ55" s="64">
        <f t="shared" si="31"/>
        <v>32</v>
      </c>
      <c r="AK55" s="67">
        <f t="shared" si="32"/>
        <v>38</v>
      </c>
      <c r="AL55" s="60">
        <f t="shared" si="33"/>
        <v>70</v>
      </c>
      <c r="AM55" s="64">
        <f>VLOOKUP($B55,[1]Sheet2!$B$4:$O$55,3,FALSE)</f>
        <v>5</v>
      </c>
      <c r="AN55" s="67">
        <f>VLOOKUP($B55,[1]Sheet2!$B$4:$O$55,4,FALSE)</f>
        <v>5</v>
      </c>
      <c r="AO55" s="60">
        <f t="shared" si="34"/>
        <v>10</v>
      </c>
      <c r="AP55" s="64">
        <f>VLOOKUP($B55,[1]Sheet2!$B$4:$O$55,6,FALSE)</f>
        <v>16</v>
      </c>
      <c r="AQ55" s="67">
        <f>VLOOKUP($B55,[1]Sheet2!$B$4:$O$55,7,FALSE)</f>
        <v>15</v>
      </c>
      <c r="AR55" s="60">
        <f t="shared" si="35"/>
        <v>31</v>
      </c>
      <c r="AS55" s="64">
        <f>VLOOKUP($B55,[1]Sheet2!$B$4:$O$55,9,FALSE)</f>
        <v>11</v>
      </c>
      <c r="AT55" s="67">
        <f>VLOOKUP($B55,[1]Sheet2!$B$4:$O$55,10,FALSE)</f>
        <v>18</v>
      </c>
      <c r="AU55" s="60">
        <f t="shared" si="36"/>
        <v>29</v>
      </c>
      <c r="AV55" s="64">
        <f t="shared" si="37"/>
        <v>6668</v>
      </c>
      <c r="AW55" s="67">
        <f t="shared" si="37"/>
        <v>10212</v>
      </c>
      <c r="AX55" s="60">
        <f t="shared" si="0"/>
        <v>16880</v>
      </c>
      <c r="AY55" s="64">
        <v>4462</v>
      </c>
      <c r="AZ55" s="67">
        <v>6344</v>
      </c>
      <c r="BA55" s="60">
        <f t="shared" si="1"/>
        <v>10806</v>
      </c>
      <c r="BB55" s="64">
        <v>1672</v>
      </c>
      <c r="BC55" s="67">
        <v>2711</v>
      </c>
      <c r="BD55" s="60">
        <f t="shared" si="2"/>
        <v>4383</v>
      </c>
      <c r="BE55" s="64">
        <v>534</v>
      </c>
      <c r="BF55" s="67">
        <v>1157</v>
      </c>
      <c r="BG55" s="60">
        <f t="shared" si="3"/>
        <v>1691</v>
      </c>
      <c r="BH55" s="64">
        <f t="shared" si="38"/>
        <v>347</v>
      </c>
      <c r="BI55" s="67">
        <f t="shared" si="38"/>
        <v>433</v>
      </c>
      <c r="BJ55" s="60">
        <f t="shared" si="4"/>
        <v>780</v>
      </c>
      <c r="BK55" s="64">
        <v>162</v>
      </c>
      <c r="BL55" s="67">
        <v>169</v>
      </c>
      <c r="BM55" s="60">
        <f t="shared" si="5"/>
        <v>331</v>
      </c>
      <c r="BN55" s="64">
        <v>128</v>
      </c>
      <c r="BO55" s="67">
        <v>149</v>
      </c>
      <c r="BP55" s="60">
        <f t="shared" si="6"/>
        <v>277</v>
      </c>
      <c r="BQ55" s="64">
        <v>57</v>
      </c>
      <c r="BR55" s="67">
        <v>115</v>
      </c>
      <c r="BS55" s="60">
        <f t="shared" si="7"/>
        <v>172</v>
      </c>
      <c r="BT55" s="64">
        <f t="shared" si="39"/>
        <v>0</v>
      </c>
      <c r="BU55" s="67">
        <f t="shared" si="39"/>
        <v>0</v>
      </c>
      <c r="BV55" s="60">
        <f t="shared" si="8"/>
        <v>0</v>
      </c>
      <c r="BW55" s="64"/>
      <c r="BX55" s="67"/>
      <c r="BY55" s="60">
        <f t="shared" si="9"/>
        <v>0</v>
      </c>
      <c r="BZ55" s="64"/>
      <c r="CA55" s="67"/>
      <c r="CB55" s="60">
        <f t="shared" si="10"/>
        <v>0</v>
      </c>
      <c r="CC55" s="64"/>
      <c r="CD55" s="67"/>
      <c r="CE55" s="60">
        <f t="shared" si="11"/>
        <v>0</v>
      </c>
      <c r="CF55" s="64">
        <f t="shared" si="40"/>
        <v>0</v>
      </c>
      <c r="CG55" s="67">
        <f t="shared" si="40"/>
        <v>0</v>
      </c>
      <c r="CH55" s="60">
        <f t="shared" si="12"/>
        <v>0</v>
      </c>
      <c r="CI55" s="64"/>
      <c r="CJ55" s="67"/>
      <c r="CK55" s="60">
        <f t="shared" si="13"/>
        <v>0</v>
      </c>
      <c r="CL55" s="64"/>
      <c r="CM55" s="67"/>
      <c r="CN55" s="60">
        <f t="shared" si="14"/>
        <v>0</v>
      </c>
      <c r="CO55" s="64"/>
      <c r="CP55" s="67"/>
      <c r="CQ55" s="60">
        <f t="shared" si="15"/>
        <v>0</v>
      </c>
    </row>
  </sheetData>
  <mergeCells count="39">
    <mergeCell ref="CC3:CE3"/>
    <mergeCell ref="CF3:CH3"/>
    <mergeCell ref="CI3:CK3"/>
    <mergeCell ref="CL3:CN3"/>
    <mergeCell ref="CO3:CQ3"/>
    <mergeCell ref="BZ3:CB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AV2:BG2"/>
    <mergeCell ref="AA3:AC3"/>
    <mergeCell ref="AD3:AF3"/>
    <mergeCell ref="AG3:AI3"/>
    <mergeCell ref="AJ3:AL3"/>
    <mergeCell ref="AM3:AO3"/>
    <mergeCell ref="BH2:BS2"/>
    <mergeCell ref="AP3:AR3"/>
    <mergeCell ref="BT2:CE2"/>
    <mergeCell ref="CF2:CQ2"/>
    <mergeCell ref="C3:E3"/>
    <mergeCell ref="F3:H3"/>
    <mergeCell ref="I3:K3"/>
    <mergeCell ref="L3:N3"/>
    <mergeCell ref="O3:Q3"/>
    <mergeCell ref="R3:T3"/>
    <mergeCell ref="U3:W3"/>
    <mergeCell ref="X3:Z3"/>
    <mergeCell ref="C2:N2"/>
    <mergeCell ref="O2:W2"/>
    <mergeCell ref="X2:AI2"/>
    <mergeCell ref="AJ2:A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012D3-74C0-4EFB-A8F9-5FC7F38D62DF}">
  <dimension ref="A1:J54"/>
  <sheetViews>
    <sheetView tabSelected="1" zoomScaleNormal="100" workbookViewId="0">
      <selection activeCell="M13" sqref="M13"/>
    </sheetView>
  </sheetViews>
  <sheetFormatPr defaultRowHeight="24"/>
  <cols>
    <col min="1" max="1" width="5.7109375" style="238" customWidth="1"/>
    <col min="2" max="2" width="18.85546875" customWidth="1"/>
    <col min="3" max="3" width="15.7109375" customWidth="1"/>
    <col min="5" max="5" width="1.85546875" customWidth="1"/>
    <col min="6" max="6" width="49.7109375" customWidth="1"/>
    <col min="10" max="10" width="14.140625" customWidth="1"/>
  </cols>
  <sheetData>
    <row r="1" spans="1:10" ht="7.5" customHeight="1"/>
    <row r="2" spans="1:10" s="71" customFormat="1" ht="33" customHeight="1">
      <c r="A2" s="241"/>
      <c r="B2" s="302" t="s">
        <v>660</v>
      </c>
      <c r="C2" s="302"/>
      <c r="D2" s="302"/>
      <c r="E2" s="302"/>
      <c r="F2" s="319" t="s">
        <v>635</v>
      </c>
      <c r="G2" s="301" t="s">
        <v>664</v>
      </c>
      <c r="H2" s="318"/>
      <c r="I2" s="318"/>
      <c r="J2" s="318"/>
    </row>
    <row r="3" spans="1:10" ht="9.75" customHeight="1"/>
    <row r="4" spans="1:10" ht="48">
      <c r="A4" s="299" t="s">
        <v>648</v>
      </c>
      <c r="B4" s="295" t="s">
        <v>85</v>
      </c>
      <c r="C4" s="300" t="s">
        <v>455</v>
      </c>
    </row>
    <row r="5" spans="1:10">
      <c r="A5" s="298">
        <v>1</v>
      </c>
      <c r="B5" s="289" t="s">
        <v>37</v>
      </c>
      <c r="C5" s="297">
        <f>VLOOKUP($F$2,data!$B$4:$AZ$16,32,FALSE)</f>
        <v>48</v>
      </c>
    </row>
    <row r="6" spans="1:10">
      <c r="A6" s="298">
        <v>2</v>
      </c>
      <c r="B6" s="289" t="s">
        <v>652</v>
      </c>
      <c r="C6" s="297">
        <f>VLOOKUP($F$2,data!$B$4:$AZ$16,2,FALSE)</f>
        <v>159</v>
      </c>
    </row>
    <row r="7" spans="1:10">
      <c r="A7" s="298">
        <v>3</v>
      </c>
      <c r="B7" s="289" t="s">
        <v>29</v>
      </c>
      <c r="C7" s="297">
        <f>VLOOKUP($F$2,data!$B$4:$AZ$16,10,FALSE)</f>
        <v>0</v>
      </c>
    </row>
    <row r="8" spans="1:10">
      <c r="A8" s="298">
        <v>4</v>
      </c>
      <c r="B8" s="289" t="s">
        <v>71</v>
      </c>
      <c r="C8" s="297">
        <f>VLOOKUP($F$2,data!$B$4:$AZ$16,41,FALSE)</f>
        <v>523</v>
      </c>
    </row>
    <row r="9" spans="1:10">
      <c r="A9" s="298">
        <v>5</v>
      </c>
      <c r="B9" s="289" t="s">
        <v>51</v>
      </c>
      <c r="C9" s="297">
        <f>VLOOKUP($F$2,data!$B$4:$AZ$16,12,FALSE)</f>
        <v>262</v>
      </c>
    </row>
    <row r="10" spans="1:10">
      <c r="A10" s="298">
        <v>6</v>
      </c>
      <c r="B10" s="289" t="s">
        <v>38</v>
      </c>
      <c r="C10" s="297">
        <f>VLOOKUP($F$2,data!$B$4:$AZ$16,38,FALSE)</f>
        <v>249</v>
      </c>
    </row>
    <row r="11" spans="1:10">
      <c r="A11" s="298">
        <v>7</v>
      </c>
      <c r="B11" s="289" t="s">
        <v>50</v>
      </c>
      <c r="C11" s="297">
        <f>VLOOKUP($F$2,data!$B$4:$AZ$16,13,FALSE)</f>
        <v>206</v>
      </c>
    </row>
    <row r="12" spans="1:10">
      <c r="A12" s="298">
        <v>8</v>
      </c>
      <c r="B12" s="289" t="s">
        <v>23</v>
      </c>
      <c r="C12" s="297">
        <f>VLOOKUP($F$2,data!$B$4:$AZ$16,25,FALSE)</f>
        <v>7</v>
      </c>
    </row>
    <row r="13" spans="1:10">
      <c r="A13" s="298">
        <v>9</v>
      </c>
      <c r="B13" s="289" t="s">
        <v>59</v>
      </c>
      <c r="C13" s="297">
        <f>VLOOKUP($F$2,data!$B$4:$AZ$16,5,FALSE)</f>
        <v>31</v>
      </c>
    </row>
    <row r="14" spans="1:10">
      <c r="A14" s="298">
        <v>10</v>
      </c>
      <c r="B14" s="289" t="s">
        <v>34</v>
      </c>
      <c r="C14" s="297">
        <f>VLOOKUP($F$2,data!$B$4:$AZ$16,31,FALSE)</f>
        <v>32</v>
      </c>
    </row>
    <row r="15" spans="1:10">
      <c r="A15" s="298">
        <v>11</v>
      </c>
      <c r="B15" s="289" t="s">
        <v>40</v>
      </c>
      <c r="C15" s="297">
        <f>VLOOKUP($F$2,data!$B$4:$AZ$16,29,FALSE)</f>
        <v>176</v>
      </c>
    </row>
    <row r="16" spans="1:10">
      <c r="A16" s="298">
        <v>12</v>
      </c>
      <c r="B16" s="289" t="s">
        <v>18</v>
      </c>
      <c r="C16" s="297">
        <f>VLOOKUP($F$2,data!$B$4:$AZ$16,34,FALSE)</f>
        <v>315</v>
      </c>
    </row>
    <row r="17" spans="1:3">
      <c r="A17" s="298">
        <v>13</v>
      </c>
      <c r="B17" s="289" t="s">
        <v>64</v>
      </c>
      <c r="C17" s="297">
        <f>VLOOKUP($F$2,data!$B$4:$AZ$16,28,FALSE)</f>
        <v>48</v>
      </c>
    </row>
    <row r="18" spans="1:3">
      <c r="A18" s="298">
        <v>14</v>
      </c>
      <c r="B18" s="289" t="s">
        <v>47</v>
      </c>
      <c r="C18" s="297">
        <f>VLOOKUP($F$2,data!$B$4:$AZ$16,33,FALSE)</f>
        <v>474</v>
      </c>
    </row>
    <row r="19" spans="1:3">
      <c r="A19" s="298">
        <v>15</v>
      </c>
      <c r="B19" s="289" t="s">
        <v>41</v>
      </c>
      <c r="C19" s="297">
        <f>VLOOKUP($F$2,data!$B$4:$AZ$16,27,FALSE)</f>
        <v>227</v>
      </c>
    </row>
    <row r="20" spans="1:3">
      <c r="A20" s="298">
        <v>16</v>
      </c>
      <c r="B20" s="289" t="s">
        <v>66</v>
      </c>
      <c r="C20" s="297">
        <f>VLOOKUP($F$2,data!$B$4:$AZ$16,18,FALSE)</f>
        <v>66</v>
      </c>
    </row>
    <row r="21" spans="1:3">
      <c r="A21" s="298">
        <v>17</v>
      </c>
      <c r="B21" s="289" t="s">
        <v>46</v>
      </c>
      <c r="C21" s="297">
        <f>VLOOKUP($F$2,data!$B$4:$AZ$16,43,FALSE)</f>
        <v>299</v>
      </c>
    </row>
    <row r="22" spans="1:3">
      <c r="A22" s="298">
        <v>18</v>
      </c>
      <c r="B22" s="289" t="s">
        <v>52</v>
      </c>
      <c r="C22" s="297">
        <f>VLOOKUP($F$2,data!$B$4:$AZ$16,26,FALSE)</f>
        <v>587</v>
      </c>
    </row>
    <row r="23" spans="1:3">
      <c r="A23" s="298">
        <v>19</v>
      </c>
      <c r="B23" s="289" t="s">
        <v>55</v>
      </c>
      <c r="C23" s="297">
        <f>VLOOKUP($F$2,data!$B$4:$AZ$16,8,FALSE)</f>
        <v>199</v>
      </c>
    </row>
    <row r="24" spans="1:3">
      <c r="A24" s="298">
        <v>20</v>
      </c>
      <c r="B24" s="289" t="s">
        <v>36</v>
      </c>
      <c r="C24" s="297">
        <f>VLOOKUP($F$2,data!$B$4:$AZ$16,51,FALSE)</f>
        <v>26</v>
      </c>
    </row>
    <row r="25" spans="1:3">
      <c r="A25" s="298">
        <v>21</v>
      </c>
      <c r="B25" s="289" t="s">
        <v>72</v>
      </c>
      <c r="C25" s="297">
        <f>VLOOKUP($F$2,data!$B$4:$AZ$16,23,FALSE)</f>
        <v>466</v>
      </c>
    </row>
    <row r="26" spans="1:3">
      <c r="A26" s="298">
        <v>22</v>
      </c>
      <c r="B26" s="289" t="s">
        <v>63</v>
      </c>
      <c r="C26" s="297">
        <f>VLOOKUP($F$2,data!$B$4:$AZ$16,6,FALSE)</f>
        <v>348</v>
      </c>
    </row>
    <row r="27" spans="1:3">
      <c r="A27" s="298">
        <v>23</v>
      </c>
      <c r="B27" s="289" t="s">
        <v>42</v>
      </c>
      <c r="C27" s="297">
        <f>VLOOKUP($F$2,data!$B$4:$AZ$16,46,FALSE)</f>
        <v>44</v>
      </c>
    </row>
    <row r="28" spans="1:3">
      <c r="A28" s="298">
        <v>24</v>
      </c>
      <c r="B28" s="289" t="s">
        <v>56</v>
      </c>
      <c r="C28" s="297">
        <f>VLOOKUP($F$2,data!$B$4:$AZ$16,4,FALSE)</f>
        <v>765</v>
      </c>
    </row>
    <row r="29" spans="1:3">
      <c r="A29" s="298">
        <v>25</v>
      </c>
      <c r="B29" s="289" t="s">
        <v>33</v>
      </c>
      <c r="C29" s="297">
        <f>VLOOKUP($F$2,data!$B$4:$AZ$16,11,FALSE)</f>
        <v>917</v>
      </c>
    </row>
    <row r="30" spans="1:3">
      <c r="A30" s="298">
        <v>26</v>
      </c>
      <c r="B30" s="289" t="s">
        <v>49</v>
      </c>
      <c r="C30" s="297">
        <f>VLOOKUP($F$2,data!$B$4:$AZ$16,44,FALSE)</f>
        <v>1279</v>
      </c>
    </row>
    <row r="31" spans="1:3">
      <c r="A31" s="298">
        <v>27</v>
      </c>
      <c r="B31" s="289" t="s">
        <v>54</v>
      </c>
      <c r="C31" s="297">
        <f>VLOOKUP($F$2,data!$B$4:$AZ$16,17,FALSE)</f>
        <v>132</v>
      </c>
    </row>
    <row r="32" spans="1:3">
      <c r="A32" s="298">
        <v>28</v>
      </c>
      <c r="B32" s="289" t="s">
        <v>44</v>
      </c>
      <c r="C32" s="297">
        <f>VLOOKUP($F$2,data!$B$4:$AZ$16,37,FALSE)</f>
        <v>104</v>
      </c>
    </row>
    <row r="33" spans="1:3">
      <c r="A33" s="298">
        <v>29</v>
      </c>
      <c r="B33" s="289" t="s">
        <v>20</v>
      </c>
      <c r="C33" s="297">
        <f>VLOOKUP($F$2,data!$B$4:$AZ$16,22,FALSE)</f>
        <v>885</v>
      </c>
    </row>
    <row r="34" spans="1:3">
      <c r="A34" s="298">
        <v>30</v>
      </c>
      <c r="B34" s="289" t="s">
        <v>24</v>
      </c>
      <c r="C34" s="297">
        <f>VLOOKUP($F$2,data!$B$4:$AZ$16,39,FALSE)</f>
        <v>412</v>
      </c>
    </row>
    <row r="35" spans="1:3">
      <c r="A35" s="298">
        <v>31</v>
      </c>
      <c r="B35" s="289" t="s">
        <v>43</v>
      </c>
      <c r="C35" s="297">
        <f>VLOOKUP($F$2,data!$B$4:$AZ$16,21,FALSE)</f>
        <v>89</v>
      </c>
    </row>
    <row r="36" spans="1:3">
      <c r="A36" s="298">
        <v>32</v>
      </c>
      <c r="B36" s="289" t="s">
        <v>39</v>
      </c>
      <c r="C36" s="297">
        <f>VLOOKUP($F$2,data!$B$4:$AZ$16,42,FALSE)</f>
        <v>450</v>
      </c>
    </row>
    <row r="37" spans="1:3">
      <c r="A37" s="298">
        <v>33</v>
      </c>
      <c r="B37" s="289" t="s">
        <v>73</v>
      </c>
      <c r="C37" s="297">
        <f>VLOOKUP($F$2,data!$B$4:$AZ$16,7,FALSE)</f>
        <v>456</v>
      </c>
    </row>
    <row r="38" spans="1:3">
      <c r="A38" s="298">
        <v>34</v>
      </c>
      <c r="B38" s="289" t="s">
        <v>25</v>
      </c>
      <c r="C38" s="297">
        <f>VLOOKUP($F$2,data!$B$4:$AZ$16,14,FALSE)</f>
        <v>511</v>
      </c>
    </row>
    <row r="39" spans="1:3">
      <c r="A39" s="298">
        <v>35</v>
      </c>
      <c r="B39" s="289" t="s">
        <v>19</v>
      </c>
      <c r="C39" s="297">
        <f>VLOOKUP($F$2,data!$B$4:$AZ$16,35,FALSE)</f>
        <v>41</v>
      </c>
    </row>
    <row r="40" spans="1:3">
      <c r="A40" s="298">
        <v>36</v>
      </c>
      <c r="B40" s="289" t="s">
        <v>48</v>
      </c>
      <c r="C40" s="297">
        <f>VLOOKUP($F$2,data!$B$4:$AZ$16,24,FALSE)</f>
        <v>318</v>
      </c>
    </row>
    <row r="41" spans="1:3">
      <c r="A41" s="298">
        <v>37</v>
      </c>
      <c r="B41" s="289" t="s">
        <v>62</v>
      </c>
      <c r="C41" s="297">
        <f>VLOOKUP($F$2,data!$B$4:$AZ$16,40,FALSE)</f>
        <v>0</v>
      </c>
    </row>
    <row r="42" spans="1:3">
      <c r="A42" s="298">
        <v>38</v>
      </c>
      <c r="B42" s="289" t="s">
        <v>53</v>
      </c>
      <c r="C42" s="297">
        <f>VLOOKUP($F$2,data!$B$4:$AZ$16,16,FALSE)</f>
        <v>424</v>
      </c>
    </row>
    <row r="43" spans="1:3">
      <c r="A43" s="298">
        <v>39</v>
      </c>
      <c r="B43" s="289" t="s">
        <v>61</v>
      </c>
      <c r="C43" s="297">
        <f>VLOOKUP($F$2,data!$B$4:$AZ$16,36,FALSE)</f>
        <v>508</v>
      </c>
    </row>
    <row r="44" spans="1:3">
      <c r="A44" s="298">
        <v>40</v>
      </c>
      <c r="B44" s="289" t="s">
        <v>65</v>
      </c>
      <c r="C44" s="297">
        <f>VLOOKUP($F$2,data!$B$4:$AZ$16,45,FALSE)</f>
        <v>30</v>
      </c>
    </row>
    <row r="45" spans="1:3">
      <c r="A45" s="298">
        <v>41</v>
      </c>
      <c r="B45" s="289" t="s">
        <v>22</v>
      </c>
      <c r="C45" s="297">
        <f>VLOOKUP($F$2,data!$B$4:$AZ$16,19,FALSE)</f>
        <v>15</v>
      </c>
    </row>
    <row r="46" spans="1:3">
      <c r="A46" s="298">
        <v>42</v>
      </c>
      <c r="B46" s="289" t="s">
        <v>21</v>
      </c>
      <c r="C46" s="297">
        <f>VLOOKUP($F$2,data!$B$4:$AZ$16,48,FALSE)</f>
        <v>580</v>
      </c>
    </row>
    <row r="47" spans="1:3">
      <c r="A47" s="298">
        <v>43</v>
      </c>
      <c r="B47" s="289" t="s">
        <v>68</v>
      </c>
      <c r="C47" s="297">
        <f>VLOOKUP($F$2,data!$B$4:$AZ$16,47,FALSE)</f>
        <v>709</v>
      </c>
    </row>
    <row r="48" spans="1:3">
      <c r="A48" s="298">
        <v>44</v>
      </c>
      <c r="B48" s="289" t="s">
        <v>60</v>
      </c>
      <c r="C48" s="297">
        <f>VLOOKUP($F$2,data!$B$4:$AZ$16,49,FALSE)</f>
        <v>424</v>
      </c>
    </row>
    <row r="49" spans="1:3">
      <c r="A49" s="298">
        <v>45</v>
      </c>
      <c r="B49" s="289" t="s">
        <v>45</v>
      </c>
      <c r="C49" s="297">
        <f>VLOOKUP($F$2,data!$B$4:$AZ$16,3,FALSE)</f>
        <v>42</v>
      </c>
    </row>
    <row r="50" spans="1:3">
      <c r="A50" s="298">
        <v>46</v>
      </c>
      <c r="B50" s="289" t="s">
        <v>70</v>
      </c>
      <c r="C50" s="297">
        <f>VLOOKUP($F$2,data!$B$4:$AZ$16,50,FALSE)</f>
        <v>975</v>
      </c>
    </row>
    <row r="51" spans="1:3">
      <c r="A51" s="298">
        <v>47</v>
      </c>
      <c r="B51" s="289" t="s">
        <v>58</v>
      </c>
      <c r="C51" s="297">
        <f>VLOOKUP($F$2,data!$B$4:$AZ$16,30,FALSE)</f>
        <v>1100</v>
      </c>
    </row>
    <row r="52" spans="1:3">
      <c r="A52" s="298">
        <v>48</v>
      </c>
      <c r="B52" s="289" t="s">
        <v>67</v>
      </c>
      <c r="C52" s="297">
        <f>VLOOKUP($F$2,data!$B$4:$AZ$16,20,FALSE)</f>
        <v>67</v>
      </c>
    </row>
    <row r="53" spans="1:3">
      <c r="A53" s="298">
        <v>49</v>
      </c>
      <c r="B53" s="289" t="s">
        <v>57</v>
      </c>
      <c r="C53" s="297">
        <f>VLOOKUP($F$2,data!$B$4:$AZ$16,15,FALSE)</f>
        <v>1372</v>
      </c>
    </row>
    <row r="54" spans="1:3">
      <c r="A54" s="298">
        <v>50</v>
      </c>
      <c r="B54" s="289" t="s">
        <v>69</v>
      </c>
      <c r="C54" s="297">
        <f>VLOOKUP($F$2,data!$B$4:$AZ$16,9,FALSE)</f>
        <v>583</v>
      </c>
    </row>
  </sheetData>
  <sheetProtection selectLockedCells="1"/>
  <autoFilter ref="B4:C4" xr:uid="{7304FF6C-72A6-4A92-A9E2-7B7E039B2E6E}">
    <sortState xmlns:xlrd2="http://schemas.microsoft.com/office/spreadsheetml/2017/richdata2" ref="B5:C54">
      <sortCondition ref="C4"/>
    </sortState>
  </autoFilter>
  <mergeCells count="1">
    <mergeCell ref="B2:E2"/>
  </mergeCells>
  <pageMargins left="0.17" right="0.17" top="0.49" bottom="0.47" header="0.17" footer="0.2"/>
  <pageSetup paperSize="9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E85B0C-B7F4-48B2-B445-68EABE2E76E5}">
          <x14:formula1>
            <xm:f>data!$B$4:$B$16</xm:f>
          </x14:formula1>
          <xm:sqref>F2:J2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87E5F-E6EC-4D75-B4D8-771DEAE014E0}">
  <dimension ref="A1:O70"/>
  <sheetViews>
    <sheetView zoomScaleNormal="100" workbookViewId="0">
      <selection activeCell="Q12" sqref="Q12"/>
    </sheetView>
  </sheetViews>
  <sheetFormatPr defaultColWidth="8.7109375" defaultRowHeight="24"/>
  <cols>
    <col min="1" max="1" width="8.7109375" style="238"/>
    <col min="2" max="2" width="0" style="165" hidden="1" customWidth="1"/>
    <col min="3" max="3" width="21.140625" style="166" bestFit="1" customWidth="1"/>
    <col min="4" max="5" width="12.28515625" style="41" customWidth="1"/>
    <col min="6" max="6" width="13.5703125" style="41" customWidth="1"/>
    <col min="7" max="7" width="11.85546875" style="165" customWidth="1"/>
    <col min="8" max="8" width="12.85546875" style="165" customWidth="1"/>
    <col min="9" max="9" width="13.42578125" style="165" customWidth="1"/>
    <col min="10" max="10" width="13.7109375" style="165" customWidth="1"/>
    <col min="11" max="11" width="14.28515625" style="165" customWidth="1"/>
    <col min="12" max="12" width="13.5703125" style="165" customWidth="1"/>
    <col min="13" max="13" width="12" style="165" customWidth="1"/>
    <col min="14" max="14" width="12.140625" style="165" customWidth="1"/>
    <col min="15" max="16384" width="8.7109375" style="165"/>
  </cols>
  <sheetData>
    <row r="1" spans="1:15" ht="24.75" thickBot="1">
      <c r="D1" s="2"/>
      <c r="E1" s="2"/>
      <c r="F1" s="2"/>
    </row>
    <row r="2" spans="1:15" ht="96.75" thickBot="1">
      <c r="A2" s="247" t="s">
        <v>648</v>
      </c>
      <c r="C2" s="171" t="s">
        <v>85</v>
      </c>
      <c r="D2" s="245" t="s">
        <v>4</v>
      </c>
      <c r="E2" s="245"/>
      <c r="F2" s="246"/>
      <c r="G2" s="180" t="s">
        <v>635</v>
      </c>
      <c r="H2" s="181" t="s">
        <v>79</v>
      </c>
      <c r="I2" s="182" t="s">
        <v>636</v>
      </c>
      <c r="J2" s="183" t="s">
        <v>637</v>
      </c>
      <c r="K2" s="180" t="s">
        <v>638</v>
      </c>
      <c r="L2" s="184" t="s">
        <v>639</v>
      </c>
      <c r="M2" s="182" t="s">
        <v>640</v>
      </c>
      <c r="N2" s="183" t="s">
        <v>641</v>
      </c>
      <c r="O2" s="172"/>
    </row>
    <row r="3" spans="1:15" ht="24.75" thickBot="1">
      <c r="A3" s="247"/>
      <c r="C3" s="173" t="s">
        <v>634</v>
      </c>
      <c r="D3" s="168" t="s">
        <v>14</v>
      </c>
      <c r="E3" s="169" t="s">
        <v>15</v>
      </c>
      <c r="F3" s="170" t="s">
        <v>16</v>
      </c>
      <c r="G3" s="175"/>
      <c r="H3" s="176"/>
      <c r="I3" s="177"/>
      <c r="J3" s="178"/>
      <c r="K3" s="175"/>
      <c r="L3" s="179"/>
      <c r="M3" s="177"/>
      <c r="N3" s="178"/>
      <c r="O3" s="174"/>
    </row>
    <row r="4" spans="1:15" ht="24.75" thickBot="1">
      <c r="A4" s="247"/>
      <c r="C4" s="217" t="s">
        <v>418</v>
      </c>
      <c r="D4" s="195">
        <f>SUM(D5:D54)</f>
        <v>475306</v>
      </c>
      <c r="E4" s="190">
        <f>SUM(E5:E54)</f>
        <v>648917</v>
      </c>
      <c r="F4" s="191">
        <f>SUM(D4:E4)</f>
        <v>1124223</v>
      </c>
      <c r="G4" s="188">
        <v>17063</v>
      </c>
      <c r="H4" s="185">
        <v>5852</v>
      </c>
      <c r="I4" s="186">
        <v>805377</v>
      </c>
      <c r="J4" s="187">
        <v>37306</v>
      </c>
      <c r="K4" s="188">
        <v>6420</v>
      </c>
      <c r="L4" s="189">
        <v>1652</v>
      </c>
      <c r="M4" s="186">
        <v>337</v>
      </c>
      <c r="N4" s="187">
        <v>33017</v>
      </c>
    </row>
    <row r="5" spans="1:15">
      <c r="A5" s="238">
        <v>1</v>
      </c>
      <c r="B5" s="151">
        <v>15</v>
      </c>
      <c r="C5" s="218" t="s">
        <v>45</v>
      </c>
      <c r="D5" s="192">
        <v>9950</v>
      </c>
      <c r="E5" s="193">
        <v>12733</v>
      </c>
      <c r="F5" s="194">
        <v>22683</v>
      </c>
      <c r="G5" s="209">
        <v>42</v>
      </c>
      <c r="H5" s="199">
        <v>145</v>
      </c>
      <c r="I5" s="210">
        <v>14458</v>
      </c>
      <c r="J5" s="203">
        <v>238</v>
      </c>
      <c r="K5" s="211">
        <v>0</v>
      </c>
      <c r="L5" s="206">
        <v>0</v>
      </c>
      <c r="M5" s="210">
        <v>13</v>
      </c>
      <c r="N5" s="203">
        <v>1234</v>
      </c>
    </row>
    <row r="6" spans="1:15">
      <c r="A6" s="238">
        <v>2</v>
      </c>
      <c r="B6" s="21">
        <v>37</v>
      </c>
      <c r="C6" s="219" t="s">
        <v>56</v>
      </c>
      <c r="D6" s="192">
        <v>7644</v>
      </c>
      <c r="E6" s="193">
        <v>10402</v>
      </c>
      <c r="F6" s="194">
        <v>18046</v>
      </c>
      <c r="G6" s="212">
        <v>765</v>
      </c>
      <c r="H6" s="200">
        <v>89</v>
      </c>
      <c r="I6" s="202">
        <v>13349</v>
      </c>
      <c r="J6" s="204">
        <v>672</v>
      </c>
      <c r="K6" s="198">
        <v>0</v>
      </c>
      <c r="L6" s="207">
        <v>0</v>
      </c>
      <c r="M6" s="202">
        <v>4</v>
      </c>
      <c r="N6" s="204">
        <v>444</v>
      </c>
    </row>
    <row r="7" spans="1:15">
      <c r="A7" s="238">
        <v>3</v>
      </c>
      <c r="B7" s="21">
        <v>34</v>
      </c>
      <c r="C7" s="219" t="s">
        <v>59</v>
      </c>
      <c r="D7" s="192">
        <v>10518</v>
      </c>
      <c r="E7" s="193">
        <v>13788</v>
      </c>
      <c r="F7" s="194">
        <v>24306</v>
      </c>
      <c r="G7" s="212">
        <v>31</v>
      </c>
      <c r="H7" s="200">
        <v>63</v>
      </c>
      <c r="I7" s="202">
        <v>20050</v>
      </c>
      <c r="J7" s="204">
        <v>946</v>
      </c>
      <c r="K7" s="198">
        <v>0</v>
      </c>
      <c r="L7" s="207">
        <v>0</v>
      </c>
      <c r="M7" s="202">
        <v>4</v>
      </c>
      <c r="N7" s="204">
        <v>146</v>
      </c>
    </row>
    <row r="8" spans="1:15">
      <c r="A8" s="238">
        <v>4</v>
      </c>
      <c r="B8" s="21">
        <v>30</v>
      </c>
      <c r="C8" s="219" t="s">
        <v>63</v>
      </c>
      <c r="D8" s="192">
        <v>6822</v>
      </c>
      <c r="E8" s="193">
        <v>9467</v>
      </c>
      <c r="F8" s="194">
        <v>16289</v>
      </c>
      <c r="G8" s="212">
        <v>348</v>
      </c>
      <c r="H8" s="200">
        <v>151</v>
      </c>
      <c r="I8" s="202">
        <v>12248</v>
      </c>
      <c r="J8" s="204">
        <v>622</v>
      </c>
      <c r="K8" s="198">
        <v>0</v>
      </c>
      <c r="L8" s="207">
        <v>0</v>
      </c>
      <c r="M8" s="202">
        <v>2</v>
      </c>
      <c r="N8" s="204">
        <v>420</v>
      </c>
    </row>
    <row r="9" spans="1:15">
      <c r="A9" s="238">
        <v>5</v>
      </c>
      <c r="B9" s="21">
        <v>20</v>
      </c>
      <c r="C9" s="219" t="s">
        <v>73</v>
      </c>
      <c r="D9" s="192">
        <v>14793</v>
      </c>
      <c r="E9" s="193">
        <v>20890</v>
      </c>
      <c r="F9" s="194">
        <v>35683</v>
      </c>
      <c r="G9" s="212">
        <v>456</v>
      </c>
      <c r="H9" s="200">
        <v>191</v>
      </c>
      <c r="I9" s="202">
        <v>22296</v>
      </c>
      <c r="J9" s="204">
        <v>934</v>
      </c>
      <c r="K9" s="198">
        <v>0</v>
      </c>
      <c r="L9" s="207">
        <v>0</v>
      </c>
      <c r="M9" s="202">
        <v>12</v>
      </c>
      <c r="N9" s="204">
        <v>718</v>
      </c>
    </row>
    <row r="10" spans="1:15">
      <c r="A10" s="238">
        <v>6</v>
      </c>
      <c r="B10" s="21">
        <v>38</v>
      </c>
      <c r="C10" s="219" t="s">
        <v>55</v>
      </c>
      <c r="D10" s="192">
        <v>12953</v>
      </c>
      <c r="E10" s="193">
        <v>18574</v>
      </c>
      <c r="F10" s="194">
        <v>31527</v>
      </c>
      <c r="G10" s="212">
        <v>199</v>
      </c>
      <c r="H10" s="200">
        <v>310</v>
      </c>
      <c r="I10" s="202">
        <v>26069</v>
      </c>
      <c r="J10" s="204">
        <v>1308</v>
      </c>
      <c r="K10" s="198">
        <v>0</v>
      </c>
      <c r="L10" s="207">
        <v>0</v>
      </c>
      <c r="M10" s="202">
        <v>4</v>
      </c>
      <c r="N10" s="204">
        <v>342</v>
      </c>
    </row>
    <row r="11" spans="1:15">
      <c r="A11" s="238">
        <v>7</v>
      </c>
      <c r="B11" s="21">
        <v>24</v>
      </c>
      <c r="C11" s="219" t="s">
        <v>69</v>
      </c>
      <c r="D11" s="192">
        <v>11584</v>
      </c>
      <c r="E11" s="193">
        <v>16099</v>
      </c>
      <c r="F11" s="194">
        <v>27683</v>
      </c>
      <c r="G11" s="212">
        <v>583</v>
      </c>
      <c r="H11" s="200">
        <v>0</v>
      </c>
      <c r="I11" s="202">
        <v>19488</v>
      </c>
      <c r="J11" s="204">
        <v>1054</v>
      </c>
      <c r="K11" s="198">
        <v>0</v>
      </c>
      <c r="L11" s="207">
        <v>0</v>
      </c>
      <c r="M11" s="202">
        <v>30</v>
      </c>
      <c r="N11" s="204">
        <v>2921</v>
      </c>
    </row>
    <row r="12" spans="1:15">
      <c r="A12" s="238">
        <v>8</v>
      </c>
      <c r="B12" s="151">
        <v>5</v>
      </c>
      <c r="C12" s="219" t="s">
        <v>29</v>
      </c>
      <c r="D12" s="192">
        <v>10697</v>
      </c>
      <c r="E12" s="193">
        <v>15935</v>
      </c>
      <c r="F12" s="194">
        <v>26632</v>
      </c>
      <c r="G12" s="212">
        <v>0</v>
      </c>
      <c r="H12" s="200">
        <v>213</v>
      </c>
      <c r="I12" s="202">
        <v>20649</v>
      </c>
      <c r="J12" s="204">
        <v>1001</v>
      </c>
      <c r="K12" s="198">
        <v>0</v>
      </c>
      <c r="L12" s="207">
        <v>0</v>
      </c>
      <c r="M12" s="202">
        <v>1</v>
      </c>
      <c r="N12" s="204">
        <v>40</v>
      </c>
    </row>
    <row r="13" spans="1:15">
      <c r="A13" s="238">
        <v>9</v>
      </c>
      <c r="B13" s="151">
        <v>2</v>
      </c>
      <c r="C13" s="219" t="s">
        <v>33</v>
      </c>
      <c r="D13" s="192">
        <v>11246</v>
      </c>
      <c r="E13" s="193">
        <v>12729</v>
      </c>
      <c r="F13" s="194">
        <v>23975</v>
      </c>
      <c r="G13" s="212">
        <v>917</v>
      </c>
      <c r="H13" s="200">
        <v>128</v>
      </c>
      <c r="I13" s="202">
        <v>11521</v>
      </c>
      <c r="J13" s="204">
        <v>681</v>
      </c>
      <c r="K13" s="198">
        <v>0</v>
      </c>
      <c r="L13" s="207">
        <v>0</v>
      </c>
      <c r="M13" s="202">
        <v>13</v>
      </c>
      <c r="N13" s="204">
        <v>490</v>
      </c>
    </row>
    <row r="14" spans="1:15">
      <c r="A14" s="238">
        <v>10</v>
      </c>
      <c r="B14" s="151">
        <v>42</v>
      </c>
      <c r="C14" s="219" t="s">
        <v>51</v>
      </c>
      <c r="D14" s="192">
        <v>10097</v>
      </c>
      <c r="E14" s="193">
        <v>14262</v>
      </c>
      <c r="F14" s="194">
        <v>24359</v>
      </c>
      <c r="G14" s="212">
        <v>262</v>
      </c>
      <c r="H14" s="200">
        <v>42</v>
      </c>
      <c r="I14" s="202">
        <v>17843</v>
      </c>
      <c r="J14" s="204">
        <v>932</v>
      </c>
      <c r="K14" s="198">
        <v>271</v>
      </c>
      <c r="L14" s="207">
        <v>0</v>
      </c>
      <c r="M14" s="202">
        <v>1</v>
      </c>
      <c r="N14" s="204">
        <v>60</v>
      </c>
    </row>
    <row r="15" spans="1:15">
      <c r="A15" s="238">
        <v>11</v>
      </c>
      <c r="B15" s="21">
        <v>43</v>
      </c>
      <c r="C15" s="219" t="s">
        <v>50</v>
      </c>
      <c r="D15" s="192">
        <v>7240</v>
      </c>
      <c r="E15" s="193">
        <v>9742</v>
      </c>
      <c r="F15" s="194">
        <v>16982</v>
      </c>
      <c r="G15" s="212">
        <v>206</v>
      </c>
      <c r="H15" s="200">
        <v>443</v>
      </c>
      <c r="I15" s="202">
        <v>12207</v>
      </c>
      <c r="J15" s="204">
        <v>531</v>
      </c>
      <c r="K15" s="198">
        <v>0</v>
      </c>
      <c r="L15" s="207">
        <v>0</v>
      </c>
      <c r="M15" s="202">
        <v>3</v>
      </c>
      <c r="N15" s="204">
        <v>90</v>
      </c>
    </row>
    <row r="16" spans="1:15">
      <c r="A16" s="238">
        <v>12</v>
      </c>
      <c r="B16" s="21">
        <v>50</v>
      </c>
      <c r="C16" s="219" t="s">
        <v>25</v>
      </c>
      <c r="D16" s="192">
        <v>8904</v>
      </c>
      <c r="E16" s="193">
        <v>12495</v>
      </c>
      <c r="F16" s="194">
        <v>21399</v>
      </c>
      <c r="G16" s="212">
        <v>511</v>
      </c>
      <c r="H16" s="200">
        <v>96</v>
      </c>
      <c r="I16" s="202">
        <v>17740</v>
      </c>
      <c r="J16" s="204">
        <v>810</v>
      </c>
      <c r="K16" s="198">
        <v>0</v>
      </c>
      <c r="L16" s="207">
        <v>0</v>
      </c>
      <c r="M16" s="202">
        <v>7</v>
      </c>
      <c r="N16" s="204">
        <v>723</v>
      </c>
    </row>
    <row r="17" spans="1:14">
      <c r="A17" s="238">
        <v>13</v>
      </c>
      <c r="B17" s="21">
        <v>36</v>
      </c>
      <c r="C17" s="219" t="s">
        <v>57</v>
      </c>
      <c r="D17" s="192">
        <v>10884</v>
      </c>
      <c r="E17" s="193">
        <v>14852</v>
      </c>
      <c r="F17" s="194">
        <v>25736</v>
      </c>
      <c r="G17" s="212">
        <v>1372</v>
      </c>
      <c r="H17" s="200">
        <v>254</v>
      </c>
      <c r="I17" s="202">
        <v>19877</v>
      </c>
      <c r="J17" s="204">
        <v>1249</v>
      </c>
      <c r="K17" s="198">
        <v>0</v>
      </c>
      <c r="L17" s="207">
        <v>0</v>
      </c>
      <c r="M17" s="202">
        <v>11</v>
      </c>
      <c r="N17" s="204">
        <v>2223</v>
      </c>
    </row>
    <row r="18" spans="1:14">
      <c r="A18" s="238">
        <v>14</v>
      </c>
      <c r="B18" s="21">
        <v>40</v>
      </c>
      <c r="C18" s="219" t="s">
        <v>53</v>
      </c>
      <c r="D18" s="192">
        <v>12035</v>
      </c>
      <c r="E18" s="193">
        <v>16455</v>
      </c>
      <c r="F18" s="194">
        <v>28490</v>
      </c>
      <c r="G18" s="212">
        <v>424</v>
      </c>
      <c r="H18" s="200">
        <v>37</v>
      </c>
      <c r="I18" s="202">
        <v>19139</v>
      </c>
      <c r="J18" s="204">
        <v>1281</v>
      </c>
      <c r="K18" s="198">
        <v>0</v>
      </c>
      <c r="L18" s="207">
        <v>0</v>
      </c>
      <c r="M18" s="202">
        <v>7</v>
      </c>
      <c r="N18" s="204">
        <v>963</v>
      </c>
    </row>
    <row r="19" spans="1:14">
      <c r="A19" s="238">
        <v>15</v>
      </c>
      <c r="B19" s="21">
        <v>39</v>
      </c>
      <c r="C19" s="219" t="s">
        <v>54</v>
      </c>
      <c r="D19" s="192">
        <v>5606</v>
      </c>
      <c r="E19" s="193">
        <v>7559</v>
      </c>
      <c r="F19" s="194">
        <v>13165</v>
      </c>
      <c r="G19" s="212">
        <v>132</v>
      </c>
      <c r="H19" s="200">
        <v>8</v>
      </c>
      <c r="I19" s="202">
        <v>12293</v>
      </c>
      <c r="J19" s="204">
        <v>44</v>
      </c>
      <c r="K19" s="198">
        <v>0</v>
      </c>
      <c r="L19" s="207">
        <v>0</v>
      </c>
      <c r="M19" s="202">
        <v>1</v>
      </c>
      <c r="N19" s="204">
        <v>500</v>
      </c>
    </row>
    <row r="20" spans="1:14">
      <c r="A20" s="238">
        <v>16</v>
      </c>
      <c r="B20" s="21">
        <v>27</v>
      </c>
      <c r="C20" s="219" t="s">
        <v>66</v>
      </c>
      <c r="D20" s="192">
        <v>11226</v>
      </c>
      <c r="E20" s="193">
        <v>16202</v>
      </c>
      <c r="F20" s="194">
        <v>27428</v>
      </c>
      <c r="G20" s="212">
        <v>66</v>
      </c>
      <c r="H20" s="200">
        <v>65</v>
      </c>
      <c r="I20" s="202">
        <v>20974</v>
      </c>
      <c r="J20" s="204">
        <v>760</v>
      </c>
      <c r="K20" s="198">
        <v>334</v>
      </c>
      <c r="L20" s="207">
        <v>469</v>
      </c>
      <c r="M20" s="202">
        <v>5</v>
      </c>
      <c r="N20" s="204">
        <v>262</v>
      </c>
    </row>
    <row r="21" spans="1:14">
      <c r="A21" s="238">
        <v>17</v>
      </c>
      <c r="B21" s="21">
        <v>47</v>
      </c>
      <c r="C21" s="219" t="s">
        <v>22</v>
      </c>
      <c r="D21" s="192">
        <v>11647</v>
      </c>
      <c r="E21" s="193">
        <v>15602</v>
      </c>
      <c r="F21" s="194">
        <v>27249</v>
      </c>
      <c r="G21" s="212">
        <v>15</v>
      </c>
      <c r="H21" s="200">
        <v>106</v>
      </c>
      <c r="I21" s="202">
        <v>22298</v>
      </c>
      <c r="J21" s="204">
        <v>1631</v>
      </c>
      <c r="K21" s="198">
        <v>0</v>
      </c>
      <c r="L21" s="207">
        <v>0</v>
      </c>
      <c r="M21" s="202">
        <v>19</v>
      </c>
      <c r="N21" s="204">
        <v>1102</v>
      </c>
    </row>
    <row r="22" spans="1:14">
      <c r="A22" s="238">
        <v>18</v>
      </c>
      <c r="B22" s="21">
        <v>26</v>
      </c>
      <c r="C22" s="219" t="s">
        <v>67</v>
      </c>
      <c r="D22" s="192">
        <v>14463</v>
      </c>
      <c r="E22" s="193">
        <v>20299</v>
      </c>
      <c r="F22" s="194">
        <v>34762</v>
      </c>
      <c r="G22" s="212">
        <v>67</v>
      </c>
      <c r="H22" s="200">
        <v>128</v>
      </c>
      <c r="I22" s="202">
        <v>23801</v>
      </c>
      <c r="J22" s="204">
        <v>1238</v>
      </c>
      <c r="K22" s="198">
        <v>0</v>
      </c>
      <c r="L22" s="207">
        <v>185</v>
      </c>
      <c r="M22" s="202">
        <v>14</v>
      </c>
      <c r="N22" s="204">
        <v>2011</v>
      </c>
    </row>
    <row r="23" spans="1:14">
      <c r="A23" s="238">
        <v>19</v>
      </c>
      <c r="B23" s="21">
        <v>13</v>
      </c>
      <c r="C23" s="219" t="s">
        <v>43</v>
      </c>
      <c r="D23" s="192">
        <v>9929</v>
      </c>
      <c r="E23" s="193">
        <v>12379</v>
      </c>
      <c r="F23" s="194">
        <v>22308</v>
      </c>
      <c r="G23" s="212">
        <v>89</v>
      </c>
      <c r="H23" s="200">
        <v>97</v>
      </c>
      <c r="I23" s="202">
        <v>16771</v>
      </c>
      <c r="J23" s="204">
        <v>792</v>
      </c>
      <c r="K23" s="198">
        <v>0</v>
      </c>
      <c r="L23" s="207">
        <v>0</v>
      </c>
      <c r="M23" s="202">
        <v>6</v>
      </c>
      <c r="N23" s="204">
        <v>705</v>
      </c>
    </row>
    <row r="24" spans="1:14">
      <c r="A24" s="238">
        <v>20</v>
      </c>
      <c r="B24" s="21">
        <v>45</v>
      </c>
      <c r="C24" s="219" t="s">
        <v>20</v>
      </c>
      <c r="D24" s="192">
        <v>16047</v>
      </c>
      <c r="E24" s="193">
        <v>23030</v>
      </c>
      <c r="F24" s="194">
        <v>39077</v>
      </c>
      <c r="G24" s="212">
        <v>885</v>
      </c>
      <c r="H24" s="200">
        <v>34</v>
      </c>
      <c r="I24" s="202">
        <v>30952</v>
      </c>
      <c r="J24" s="204">
        <v>1249</v>
      </c>
      <c r="K24" s="198">
        <v>0</v>
      </c>
      <c r="L24" s="207">
        <v>552</v>
      </c>
      <c r="M24" s="202">
        <v>11</v>
      </c>
      <c r="N24" s="204">
        <v>666</v>
      </c>
    </row>
    <row r="25" spans="1:14">
      <c r="A25" s="238">
        <v>21</v>
      </c>
      <c r="B25" s="21">
        <v>21</v>
      </c>
      <c r="C25" s="219" t="s">
        <v>72</v>
      </c>
      <c r="D25" s="192">
        <v>14294</v>
      </c>
      <c r="E25" s="193">
        <v>19026</v>
      </c>
      <c r="F25" s="194">
        <v>33320</v>
      </c>
      <c r="G25" s="212">
        <v>466</v>
      </c>
      <c r="H25" s="200">
        <v>296</v>
      </c>
      <c r="I25" s="202">
        <v>20254</v>
      </c>
      <c r="J25" s="204">
        <v>1155</v>
      </c>
      <c r="K25" s="198">
        <v>0</v>
      </c>
      <c r="L25" s="207">
        <v>0</v>
      </c>
      <c r="M25" s="202">
        <v>9</v>
      </c>
      <c r="N25" s="204">
        <v>417</v>
      </c>
    </row>
    <row r="26" spans="1:14">
      <c r="A26" s="238">
        <v>22</v>
      </c>
      <c r="B26" s="21">
        <v>19</v>
      </c>
      <c r="C26" s="219" t="s">
        <v>48</v>
      </c>
      <c r="D26" s="192">
        <v>7914</v>
      </c>
      <c r="E26" s="193">
        <v>10634</v>
      </c>
      <c r="F26" s="194">
        <v>18548</v>
      </c>
      <c r="G26" s="212">
        <v>318</v>
      </c>
      <c r="H26" s="200">
        <v>50</v>
      </c>
      <c r="I26" s="202">
        <v>13741</v>
      </c>
      <c r="J26" s="204">
        <v>531</v>
      </c>
      <c r="K26" s="198">
        <v>0</v>
      </c>
      <c r="L26" s="207">
        <v>0</v>
      </c>
      <c r="M26" s="202">
        <v>6</v>
      </c>
      <c r="N26" s="204">
        <v>761</v>
      </c>
    </row>
    <row r="27" spans="1:14">
      <c r="A27" s="238">
        <v>23</v>
      </c>
      <c r="B27" s="21">
        <v>48</v>
      </c>
      <c r="C27" s="219" t="s">
        <v>23</v>
      </c>
      <c r="D27" s="192">
        <v>7336</v>
      </c>
      <c r="E27" s="193">
        <v>9851</v>
      </c>
      <c r="F27" s="194">
        <v>17187</v>
      </c>
      <c r="G27" s="212">
        <v>7</v>
      </c>
      <c r="H27" s="200">
        <v>622</v>
      </c>
      <c r="I27" s="202">
        <v>16072</v>
      </c>
      <c r="J27" s="204">
        <v>896</v>
      </c>
      <c r="K27" s="198">
        <v>0</v>
      </c>
      <c r="L27" s="207">
        <v>370</v>
      </c>
      <c r="M27" s="202">
        <v>3</v>
      </c>
      <c r="N27" s="204">
        <v>110</v>
      </c>
    </row>
    <row r="28" spans="1:14">
      <c r="A28" s="238">
        <v>24</v>
      </c>
      <c r="B28" s="21">
        <v>41</v>
      </c>
      <c r="C28" s="219" t="s">
        <v>52</v>
      </c>
      <c r="D28" s="192">
        <v>9643</v>
      </c>
      <c r="E28" s="193">
        <v>13986</v>
      </c>
      <c r="F28" s="194">
        <v>23629</v>
      </c>
      <c r="G28" s="212">
        <v>587</v>
      </c>
      <c r="H28" s="200">
        <v>204</v>
      </c>
      <c r="I28" s="202">
        <v>17061</v>
      </c>
      <c r="J28" s="204">
        <v>864</v>
      </c>
      <c r="K28" s="198">
        <v>0</v>
      </c>
      <c r="L28" s="207">
        <v>0</v>
      </c>
      <c r="M28" s="202">
        <v>8</v>
      </c>
      <c r="N28" s="204">
        <v>320</v>
      </c>
    </row>
    <row r="29" spans="1:14">
      <c r="A29" s="238">
        <v>25</v>
      </c>
      <c r="B29" s="21">
        <v>11</v>
      </c>
      <c r="C29" s="219" t="s">
        <v>41</v>
      </c>
      <c r="D29" s="192">
        <v>5090</v>
      </c>
      <c r="E29" s="193">
        <v>6723</v>
      </c>
      <c r="F29" s="194">
        <v>11813</v>
      </c>
      <c r="G29" s="212">
        <v>227</v>
      </c>
      <c r="H29" s="200">
        <v>13</v>
      </c>
      <c r="I29" s="202">
        <v>8536</v>
      </c>
      <c r="J29" s="204">
        <v>335</v>
      </c>
      <c r="K29" s="198">
        <v>0</v>
      </c>
      <c r="L29" s="207">
        <v>0</v>
      </c>
      <c r="M29" s="202">
        <v>1</v>
      </c>
      <c r="N29" s="204">
        <v>250</v>
      </c>
    </row>
    <row r="30" spans="1:14">
      <c r="A30" s="238">
        <v>26</v>
      </c>
      <c r="B30" s="21">
        <v>29</v>
      </c>
      <c r="C30" s="219" t="s">
        <v>64</v>
      </c>
      <c r="D30" s="192">
        <v>10871</v>
      </c>
      <c r="E30" s="193">
        <v>15934</v>
      </c>
      <c r="F30" s="194">
        <v>26805</v>
      </c>
      <c r="G30" s="212">
        <v>48</v>
      </c>
      <c r="H30" s="200">
        <v>42</v>
      </c>
      <c r="I30" s="202">
        <v>20609</v>
      </c>
      <c r="J30" s="204">
        <v>959</v>
      </c>
      <c r="K30" s="198">
        <v>0</v>
      </c>
      <c r="L30" s="207">
        <v>0</v>
      </c>
      <c r="M30" s="202">
        <v>1</v>
      </c>
      <c r="N30" s="204">
        <v>231</v>
      </c>
    </row>
    <row r="31" spans="1:14">
      <c r="A31" s="238">
        <v>27</v>
      </c>
      <c r="B31" s="21">
        <v>10</v>
      </c>
      <c r="C31" s="219" t="s">
        <v>40</v>
      </c>
      <c r="D31" s="192">
        <v>5236</v>
      </c>
      <c r="E31" s="193">
        <v>6419</v>
      </c>
      <c r="F31" s="194">
        <v>11655</v>
      </c>
      <c r="G31" s="212">
        <v>176</v>
      </c>
      <c r="H31" s="200">
        <v>113</v>
      </c>
      <c r="I31" s="202">
        <v>7220</v>
      </c>
      <c r="J31" s="204">
        <v>343</v>
      </c>
      <c r="K31" s="198">
        <v>0</v>
      </c>
      <c r="L31" s="207">
        <v>0</v>
      </c>
      <c r="M31" s="202">
        <v>2</v>
      </c>
      <c r="N31" s="204">
        <v>206</v>
      </c>
    </row>
    <row r="32" spans="1:14">
      <c r="A32" s="238">
        <v>28</v>
      </c>
      <c r="B32" s="21">
        <v>35</v>
      </c>
      <c r="C32" s="219" t="s">
        <v>58</v>
      </c>
      <c r="D32" s="192">
        <v>11762</v>
      </c>
      <c r="E32" s="193">
        <v>16364</v>
      </c>
      <c r="F32" s="194">
        <v>28126</v>
      </c>
      <c r="G32" s="212">
        <v>1100</v>
      </c>
      <c r="H32" s="200">
        <v>519</v>
      </c>
      <c r="I32" s="202">
        <v>22279</v>
      </c>
      <c r="J32" s="204">
        <v>1024</v>
      </c>
      <c r="K32" s="198">
        <v>0</v>
      </c>
      <c r="L32" s="207">
        <v>0</v>
      </c>
      <c r="M32" s="202">
        <v>9</v>
      </c>
      <c r="N32" s="204">
        <v>1925</v>
      </c>
    </row>
    <row r="33" spans="1:14">
      <c r="A33" s="238">
        <v>29</v>
      </c>
      <c r="B33" s="151">
        <v>3</v>
      </c>
      <c r="C33" s="219" t="s">
        <v>34</v>
      </c>
      <c r="D33" s="192">
        <v>5002</v>
      </c>
      <c r="E33" s="193">
        <v>6615</v>
      </c>
      <c r="F33" s="194">
        <v>11617</v>
      </c>
      <c r="G33" s="212">
        <v>32</v>
      </c>
      <c r="H33" s="200">
        <v>29</v>
      </c>
      <c r="I33" s="202">
        <v>9119</v>
      </c>
      <c r="J33" s="204">
        <v>362</v>
      </c>
      <c r="K33" s="198">
        <v>0</v>
      </c>
      <c r="L33" s="207">
        <v>0</v>
      </c>
      <c r="M33" s="202">
        <v>2</v>
      </c>
      <c r="N33" s="204">
        <v>146</v>
      </c>
    </row>
    <row r="34" spans="1:14">
      <c r="A34" s="238">
        <v>30</v>
      </c>
      <c r="B34" s="151">
        <v>7</v>
      </c>
      <c r="C34" s="219" t="s">
        <v>37</v>
      </c>
      <c r="D34" s="192">
        <v>5578</v>
      </c>
      <c r="E34" s="193">
        <v>8199</v>
      </c>
      <c r="F34" s="194">
        <v>13777</v>
      </c>
      <c r="G34" s="212">
        <v>48</v>
      </c>
      <c r="H34" s="200">
        <v>69</v>
      </c>
      <c r="I34" s="202">
        <v>8911</v>
      </c>
      <c r="J34" s="204">
        <v>298</v>
      </c>
      <c r="K34" s="198">
        <v>0</v>
      </c>
      <c r="L34" s="207">
        <v>0</v>
      </c>
      <c r="M34" s="202">
        <v>2</v>
      </c>
      <c r="N34" s="204">
        <v>20</v>
      </c>
    </row>
    <row r="35" spans="1:14">
      <c r="A35" s="238">
        <v>31</v>
      </c>
      <c r="B35" s="21">
        <v>17</v>
      </c>
      <c r="C35" s="219" t="s">
        <v>47</v>
      </c>
      <c r="D35" s="192">
        <v>8312</v>
      </c>
      <c r="E35" s="193">
        <v>11912</v>
      </c>
      <c r="F35" s="194">
        <v>20224</v>
      </c>
      <c r="G35" s="212">
        <v>474</v>
      </c>
      <c r="H35" s="200">
        <v>45</v>
      </c>
      <c r="I35" s="202">
        <v>15719</v>
      </c>
      <c r="J35" s="204">
        <v>601</v>
      </c>
      <c r="K35" s="198">
        <v>0</v>
      </c>
      <c r="L35" s="207">
        <v>0</v>
      </c>
      <c r="M35" s="202">
        <v>3</v>
      </c>
      <c r="N35" s="204">
        <v>246</v>
      </c>
    </row>
    <row r="36" spans="1:14">
      <c r="A36" s="238">
        <v>32</v>
      </c>
      <c r="B36" s="151">
        <v>1</v>
      </c>
      <c r="C36" s="219" t="s">
        <v>18</v>
      </c>
      <c r="D36" s="192">
        <v>6228</v>
      </c>
      <c r="E36" s="193">
        <v>7684</v>
      </c>
      <c r="F36" s="194">
        <v>13912</v>
      </c>
      <c r="G36" s="212">
        <v>315</v>
      </c>
      <c r="H36" s="200">
        <v>55</v>
      </c>
      <c r="I36" s="202">
        <v>10526</v>
      </c>
      <c r="J36" s="204">
        <v>471</v>
      </c>
      <c r="K36" s="198">
        <v>0</v>
      </c>
      <c r="L36" s="207">
        <v>0</v>
      </c>
      <c r="M36" s="202">
        <v>6</v>
      </c>
      <c r="N36" s="204">
        <v>213</v>
      </c>
    </row>
    <row r="37" spans="1:14">
      <c r="A37" s="238">
        <v>33</v>
      </c>
      <c r="B37" s="21">
        <v>44</v>
      </c>
      <c r="C37" s="219" t="s">
        <v>19</v>
      </c>
      <c r="D37" s="192">
        <v>11554</v>
      </c>
      <c r="E37" s="193">
        <v>15931</v>
      </c>
      <c r="F37" s="194">
        <v>27485</v>
      </c>
      <c r="G37" s="212">
        <v>41</v>
      </c>
      <c r="H37" s="200">
        <v>519</v>
      </c>
      <c r="I37" s="202">
        <v>21529</v>
      </c>
      <c r="J37" s="204">
        <v>1601</v>
      </c>
      <c r="K37" s="198">
        <v>0</v>
      </c>
      <c r="L37" s="207">
        <v>0</v>
      </c>
      <c r="M37" s="202">
        <v>15</v>
      </c>
      <c r="N37" s="204">
        <v>734</v>
      </c>
    </row>
    <row r="38" spans="1:14">
      <c r="A38" s="238">
        <v>34</v>
      </c>
      <c r="B38" s="21">
        <v>32</v>
      </c>
      <c r="C38" s="219" t="s">
        <v>61</v>
      </c>
      <c r="D38" s="192">
        <v>11284</v>
      </c>
      <c r="E38" s="193">
        <v>14704</v>
      </c>
      <c r="F38" s="194">
        <v>25988</v>
      </c>
      <c r="G38" s="212">
        <v>508</v>
      </c>
      <c r="H38" s="200">
        <v>21</v>
      </c>
      <c r="I38" s="202">
        <v>16965</v>
      </c>
      <c r="J38" s="204">
        <v>878</v>
      </c>
      <c r="K38" s="198">
        <v>0</v>
      </c>
      <c r="L38" s="207">
        <v>0</v>
      </c>
      <c r="M38" s="202">
        <v>6</v>
      </c>
      <c r="N38" s="204">
        <v>983</v>
      </c>
    </row>
    <row r="39" spans="1:14">
      <c r="A39" s="238">
        <v>35</v>
      </c>
      <c r="B39" s="21">
        <v>14</v>
      </c>
      <c r="C39" s="219" t="s">
        <v>44</v>
      </c>
      <c r="D39" s="192">
        <v>7848</v>
      </c>
      <c r="E39" s="193">
        <v>10111</v>
      </c>
      <c r="F39" s="194">
        <v>17959</v>
      </c>
      <c r="G39" s="212">
        <v>104</v>
      </c>
      <c r="H39" s="200">
        <v>82</v>
      </c>
      <c r="I39" s="202">
        <v>13777</v>
      </c>
      <c r="J39" s="204">
        <v>554</v>
      </c>
      <c r="K39" s="198">
        <v>0</v>
      </c>
      <c r="L39" s="207">
        <v>0</v>
      </c>
      <c r="M39" s="202">
        <v>4</v>
      </c>
      <c r="N39" s="204">
        <v>609</v>
      </c>
    </row>
    <row r="40" spans="1:14">
      <c r="A40" s="238">
        <v>36</v>
      </c>
      <c r="B40" s="21">
        <v>8</v>
      </c>
      <c r="C40" s="219" t="s">
        <v>38</v>
      </c>
      <c r="D40" s="192">
        <v>6862</v>
      </c>
      <c r="E40" s="193">
        <v>8580</v>
      </c>
      <c r="F40" s="194">
        <v>15442</v>
      </c>
      <c r="G40" s="212">
        <v>249</v>
      </c>
      <c r="H40" s="200">
        <v>0</v>
      </c>
      <c r="I40" s="202">
        <v>9517</v>
      </c>
      <c r="J40" s="204">
        <v>339</v>
      </c>
      <c r="K40" s="198">
        <v>0</v>
      </c>
      <c r="L40" s="207">
        <v>0</v>
      </c>
      <c r="M40" s="202">
        <v>1</v>
      </c>
      <c r="N40" s="204">
        <v>75</v>
      </c>
    </row>
    <row r="41" spans="1:14">
      <c r="A41" s="238">
        <v>37</v>
      </c>
      <c r="B41" s="21">
        <v>49</v>
      </c>
      <c r="C41" s="219" t="s">
        <v>24</v>
      </c>
      <c r="D41" s="192">
        <v>7089</v>
      </c>
      <c r="E41" s="193">
        <v>9621</v>
      </c>
      <c r="F41" s="194">
        <v>16710</v>
      </c>
      <c r="G41" s="212">
        <v>412</v>
      </c>
      <c r="H41" s="200">
        <v>35</v>
      </c>
      <c r="I41" s="202">
        <v>13294</v>
      </c>
      <c r="J41" s="204">
        <v>683</v>
      </c>
      <c r="K41" s="198">
        <v>0</v>
      </c>
      <c r="L41" s="207">
        <v>0</v>
      </c>
      <c r="M41" s="202">
        <v>5</v>
      </c>
      <c r="N41" s="204">
        <v>670</v>
      </c>
    </row>
    <row r="42" spans="1:14">
      <c r="A42" s="238">
        <v>38</v>
      </c>
      <c r="B42" s="21">
        <v>31</v>
      </c>
      <c r="C42" s="219" t="s">
        <v>62</v>
      </c>
      <c r="D42" s="192">
        <v>10136</v>
      </c>
      <c r="E42" s="193">
        <v>13256</v>
      </c>
      <c r="F42" s="194">
        <v>23392</v>
      </c>
      <c r="G42" s="212">
        <v>0</v>
      </c>
      <c r="H42" s="200">
        <v>0</v>
      </c>
      <c r="I42" s="202">
        <v>19546</v>
      </c>
      <c r="J42" s="204">
        <v>910</v>
      </c>
      <c r="K42" s="198">
        <v>0</v>
      </c>
      <c r="L42" s="207">
        <v>0</v>
      </c>
      <c r="M42" s="202">
        <v>11</v>
      </c>
      <c r="N42" s="204">
        <v>904</v>
      </c>
    </row>
    <row r="43" spans="1:14">
      <c r="A43" s="238">
        <v>39</v>
      </c>
      <c r="B43" s="21">
        <v>22</v>
      </c>
      <c r="C43" s="219" t="s">
        <v>71</v>
      </c>
      <c r="D43" s="192">
        <v>10497</v>
      </c>
      <c r="E43" s="193">
        <v>15438</v>
      </c>
      <c r="F43" s="194">
        <v>25935</v>
      </c>
      <c r="G43" s="212">
        <v>523</v>
      </c>
      <c r="H43" s="200">
        <v>30</v>
      </c>
      <c r="I43" s="202">
        <v>18993</v>
      </c>
      <c r="J43" s="204">
        <v>734</v>
      </c>
      <c r="K43" s="198">
        <v>0</v>
      </c>
      <c r="L43" s="207">
        <v>76</v>
      </c>
      <c r="M43" s="202">
        <v>1</v>
      </c>
      <c r="N43" s="204">
        <v>56</v>
      </c>
    </row>
    <row r="44" spans="1:14">
      <c r="A44" s="238">
        <v>40</v>
      </c>
      <c r="B44" s="21">
        <v>9</v>
      </c>
      <c r="C44" s="219" t="s">
        <v>39</v>
      </c>
      <c r="D44" s="192">
        <v>8963</v>
      </c>
      <c r="E44" s="193">
        <v>12762</v>
      </c>
      <c r="F44" s="194">
        <v>21725</v>
      </c>
      <c r="G44" s="212">
        <v>450</v>
      </c>
      <c r="H44" s="200">
        <v>23</v>
      </c>
      <c r="I44" s="202">
        <v>16191</v>
      </c>
      <c r="J44" s="204">
        <v>553</v>
      </c>
      <c r="K44" s="198">
        <v>0</v>
      </c>
      <c r="L44" s="207">
        <v>0</v>
      </c>
      <c r="M44" s="202">
        <v>5</v>
      </c>
      <c r="N44" s="204">
        <v>705</v>
      </c>
    </row>
    <row r="45" spans="1:14">
      <c r="A45" s="238">
        <v>41</v>
      </c>
      <c r="B45" s="21">
        <v>16</v>
      </c>
      <c r="C45" s="219" t="s">
        <v>46</v>
      </c>
      <c r="D45" s="192">
        <v>8650</v>
      </c>
      <c r="E45" s="193">
        <v>10921</v>
      </c>
      <c r="F45" s="194">
        <v>19571</v>
      </c>
      <c r="G45" s="212">
        <v>299</v>
      </c>
      <c r="H45" s="200">
        <v>48</v>
      </c>
      <c r="I45" s="202">
        <v>10887</v>
      </c>
      <c r="J45" s="204">
        <v>332</v>
      </c>
      <c r="K45" s="198">
        <v>0</v>
      </c>
      <c r="L45" s="207">
        <v>0</v>
      </c>
      <c r="M45" s="202">
        <v>4</v>
      </c>
      <c r="N45" s="204">
        <v>270</v>
      </c>
    </row>
    <row r="46" spans="1:14">
      <c r="A46" s="238">
        <v>42</v>
      </c>
      <c r="B46" s="21">
        <v>18</v>
      </c>
      <c r="C46" s="219" t="s">
        <v>49</v>
      </c>
      <c r="D46" s="192">
        <v>9202</v>
      </c>
      <c r="E46" s="193">
        <v>13307</v>
      </c>
      <c r="F46" s="194">
        <v>22509</v>
      </c>
      <c r="G46" s="212">
        <v>1279</v>
      </c>
      <c r="H46" s="200">
        <v>29</v>
      </c>
      <c r="I46" s="202">
        <v>17869</v>
      </c>
      <c r="J46" s="204">
        <v>722</v>
      </c>
      <c r="K46" s="198">
        <v>0</v>
      </c>
      <c r="L46" s="207">
        <v>0</v>
      </c>
      <c r="M46" s="202">
        <v>5</v>
      </c>
      <c r="N46" s="204">
        <v>490</v>
      </c>
    </row>
    <row r="47" spans="1:14">
      <c r="A47" s="238">
        <v>43</v>
      </c>
      <c r="B47" s="21">
        <v>28</v>
      </c>
      <c r="C47" s="219" t="s">
        <v>65</v>
      </c>
      <c r="D47" s="192">
        <v>7298</v>
      </c>
      <c r="E47" s="193">
        <v>10389</v>
      </c>
      <c r="F47" s="194">
        <v>17687</v>
      </c>
      <c r="G47" s="212">
        <v>30</v>
      </c>
      <c r="H47" s="200">
        <v>157</v>
      </c>
      <c r="I47" s="202">
        <v>13821</v>
      </c>
      <c r="J47" s="204">
        <v>526</v>
      </c>
      <c r="K47" s="198">
        <v>0</v>
      </c>
      <c r="L47" s="207">
        <v>0</v>
      </c>
      <c r="M47" s="202">
        <v>15</v>
      </c>
      <c r="N47" s="204">
        <v>1013</v>
      </c>
    </row>
    <row r="48" spans="1:14">
      <c r="A48" s="238">
        <v>44</v>
      </c>
      <c r="B48" s="151">
        <v>4</v>
      </c>
      <c r="C48" s="219" t="s">
        <v>35</v>
      </c>
      <c r="D48" s="192">
        <v>3586</v>
      </c>
      <c r="E48" s="193">
        <v>4026</v>
      </c>
      <c r="F48" s="194">
        <v>7612</v>
      </c>
      <c r="G48" s="212">
        <v>159</v>
      </c>
      <c r="H48" s="200">
        <v>31</v>
      </c>
      <c r="I48" s="202">
        <v>5355</v>
      </c>
      <c r="J48" s="204">
        <v>175</v>
      </c>
      <c r="K48" s="198">
        <v>5</v>
      </c>
      <c r="L48" s="207">
        <v>0</v>
      </c>
      <c r="M48" s="202">
        <v>1</v>
      </c>
      <c r="N48" s="204">
        <v>40</v>
      </c>
    </row>
    <row r="49" spans="1:14">
      <c r="A49" s="238">
        <v>45</v>
      </c>
      <c r="B49" s="21">
        <v>12</v>
      </c>
      <c r="C49" s="219" t="s">
        <v>42</v>
      </c>
      <c r="D49" s="192">
        <v>9011</v>
      </c>
      <c r="E49" s="193">
        <v>12060</v>
      </c>
      <c r="F49" s="194">
        <v>21071</v>
      </c>
      <c r="G49" s="212">
        <v>44</v>
      </c>
      <c r="H49" s="200">
        <v>22</v>
      </c>
      <c r="I49" s="202">
        <v>15268</v>
      </c>
      <c r="J49" s="204">
        <v>645</v>
      </c>
      <c r="K49" s="198">
        <v>77</v>
      </c>
      <c r="L49" s="207">
        <v>0</v>
      </c>
      <c r="M49" s="202">
        <v>6</v>
      </c>
      <c r="N49" s="204">
        <v>431</v>
      </c>
    </row>
    <row r="50" spans="1:14">
      <c r="A50" s="238">
        <v>46</v>
      </c>
      <c r="B50" s="21">
        <v>25</v>
      </c>
      <c r="C50" s="219" t="s">
        <v>68</v>
      </c>
      <c r="D50" s="192">
        <v>13708</v>
      </c>
      <c r="E50" s="193">
        <v>19137</v>
      </c>
      <c r="F50" s="194">
        <v>32845</v>
      </c>
      <c r="G50" s="212">
        <v>709</v>
      </c>
      <c r="H50" s="200">
        <v>359</v>
      </c>
      <c r="I50" s="202">
        <v>22834</v>
      </c>
      <c r="J50" s="204">
        <v>1383</v>
      </c>
      <c r="K50" s="198">
        <v>0</v>
      </c>
      <c r="L50" s="207">
        <v>0</v>
      </c>
      <c r="M50" s="202">
        <v>11</v>
      </c>
      <c r="N50" s="204">
        <v>1116</v>
      </c>
    </row>
    <row r="51" spans="1:14">
      <c r="A51" s="238">
        <v>47</v>
      </c>
      <c r="B51" s="21">
        <v>46</v>
      </c>
      <c r="C51" s="219" t="s">
        <v>21</v>
      </c>
      <c r="D51" s="192">
        <v>10696</v>
      </c>
      <c r="E51" s="193">
        <v>15045</v>
      </c>
      <c r="F51" s="194">
        <v>25741</v>
      </c>
      <c r="G51" s="212">
        <v>580</v>
      </c>
      <c r="H51" s="200">
        <v>53</v>
      </c>
      <c r="I51" s="202">
        <v>21221</v>
      </c>
      <c r="J51" s="204">
        <v>1846</v>
      </c>
      <c r="K51" s="198">
        <v>5733</v>
      </c>
      <c r="L51" s="207">
        <v>0</v>
      </c>
      <c r="M51" s="202">
        <v>13</v>
      </c>
      <c r="N51" s="204">
        <v>1104</v>
      </c>
    </row>
    <row r="52" spans="1:14">
      <c r="A52" s="238">
        <v>48</v>
      </c>
      <c r="B52" s="21">
        <v>33</v>
      </c>
      <c r="C52" s="219" t="s">
        <v>60</v>
      </c>
      <c r="D52" s="192">
        <v>9303</v>
      </c>
      <c r="E52" s="193">
        <v>11480</v>
      </c>
      <c r="F52" s="194">
        <v>20783</v>
      </c>
      <c r="G52" s="212">
        <v>424</v>
      </c>
      <c r="H52" s="200">
        <v>65</v>
      </c>
      <c r="I52" s="202">
        <v>16593</v>
      </c>
      <c r="J52" s="204">
        <v>1146</v>
      </c>
      <c r="K52" s="198">
        <v>0</v>
      </c>
      <c r="L52" s="207">
        <v>0</v>
      </c>
      <c r="M52" s="202">
        <v>5</v>
      </c>
      <c r="N52" s="204">
        <v>1160</v>
      </c>
    </row>
    <row r="53" spans="1:14">
      <c r="A53" s="238">
        <v>49</v>
      </c>
      <c r="B53" s="21">
        <v>23</v>
      </c>
      <c r="C53" s="219" t="s">
        <v>70</v>
      </c>
      <c r="D53" s="192">
        <v>9647</v>
      </c>
      <c r="E53" s="193">
        <v>13451</v>
      </c>
      <c r="F53" s="194">
        <v>23098</v>
      </c>
      <c r="G53" s="212">
        <v>975</v>
      </c>
      <c r="H53" s="200">
        <v>25</v>
      </c>
      <c r="I53" s="202">
        <v>15692</v>
      </c>
      <c r="J53" s="204">
        <v>672</v>
      </c>
      <c r="K53" s="198">
        <v>0</v>
      </c>
      <c r="L53" s="207">
        <v>0</v>
      </c>
      <c r="M53" s="202">
        <v>12</v>
      </c>
      <c r="N53" s="204">
        <v>1336</v>
      </c>
    </row>
    <row r="54" spans="1:14" ht="24.75" thickBot="1">
      <c r="A54" s="238">
        <v>50</v>
      </c>
      <c r="B54" s="151">
        <v>6</v>
      </c>
      <c r="C54" s="220" t="s">
        <v>36</v>
      </c>
      <c r="D54" s="216">
        <v>8421</v>
      </c>
      <c r="E54" s="196">
        <v>11857</v>
      </c>
      <c r="F54" s="197">
        <v>20278</v>
      </c>
      <c r="G54" s="213">
        <v>26</v>
      </c>
      <c r="H54" s="201">
        <v>74</v>
      </c>
      <c r="I54" s="214">
        <v>11832</v>
      </c>
      <c r="J54" s="205">
        <v>437</v>
      </c>
      <c r="K54" s="215">
        <v>0</v>
      </c>
      <c r="L54" s="208">
        <v>0</v>
      </c>
      <c r="M54" s="214">
        <v>3</v>
      </c>
      <c r="N54" s="205">
        <v>416</v>
      </c>
    </row>
    <row r="60" spans="1:14">
      <c r="C60" s="167"/>
    </row>
    <row r="61" spans="1:14">
      <c r="C61" s="167"/>
    </row>
    <row r="62" spans="1:14">
      <c r="C62" s="167"/>
    </row>
    <row r="63" spans="1:14">
      <c r="C63" s="167"/>
    </row>
    <row r="64" spans="1:14">
      <c r="C64" s="167"/>
    </row>
    <row r="65" spans="3:3">
      <c r="C65" s="167"/>
    </row>
    <row r="66" spans="3:3">
      <c r="C66" s="167"/>
    </row>
    <row r="67" spans="3:3">
      <c r="C67" s="167"/>
    </row>
    <row r="68" spans="3:3">
      <c r="C68" s="167"/>
    </row>
    <row r="69" spans="3:3">
      <c r="C69" s="167"/>
    </row>
    <row r="70" spans="3:3">
      <c r="C70" s="167"/>
    </row>
  </sheetData>
  <sheetProtection autoFilter="0"/>
  <autoFilter ref="B4:N54" xr:uid="{77D141B9-8092-4F0E-9875-393299898843}">
    <sortState xmlns:xlrd2="http://schemas.microsoft.com/office/spreadsheetml/2017/richdata2" ref="B5:N54">
      <sortCondition ref="C4:C54"/>
    </sortState>
  </autoFilter>
  <sortState xmlns:xlrd2="http://schemas.microsoft.com/office/spreadsheetml/2017/richdata2" ref="B5:F54">
    <sortCondition ref="B4"/>
  </sortState>
  <mergeCells count="2">
    <mergeCell ref="D2:F2"/>
    <mergeCell ref="A2:A4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F72E2-C96B-49FA-9865-B1D7FF8F77EA}">
  <dimension ref="B1:N39"/>
  <sheetViews>
    <sheetView zoomScaleNormal="100" workbookViewId="0">
      <selection activeCell="H8" sqref="H8"/>
    </sheetView>
  </sheetViews>
  <sheetFormatPr defaultColWidth="9.140625" defaultRowHeight="27.75"/>
  <cols>
    <col min="1" max="1" width="4.140625" style="45" customWidth="1"/>
    <col min="2" max="2" width="47.85546875" style="45" customWidth="1"/>
    <col min="3" max="3" width="13.5703125" style="45" customWidth="1"/>
    <col min="4" max="4" width="19.42578125" style="45" customWidth="1"/>
    <col min="5" max="5" width="11.5703125" style="45" bestFit="1" customWidth="1"/>
    <col min="6" max="6" width="15.140625" style="45" customWidth="1"/>
    <col min="7" max="7" width="11.5703125" style="45" bestFit="1" customWidth="1"/>
    <col min="8" max="8" width="9.140625" style="45"/>
    <col min="9" max="9" width="12.140625" style="45" bestFit="1" customWidth="1"/>
    <col min="10" max="10" width="4.42578125" style="45" customWidth="1"/>
    <col min="11" max="11" width="15.85546875" style="45" customWidth="1"/>
    <col min="12" max="16384" width="9.140625" style="45"/>
  </cols>
  <sheetData>
    <row r="1" spans="2:14">
      <c r="C1" s="248" t="s">
        <v>74</v>
      </c>
      <c r="D1" s="248"/>
      <c r="E1" s="248"/>
    </row>
    <row r="2" spans="2:14" ht="45.75" customHeight="1">
      <c r="B2" s="47" t="s">
        <v>17</v>
      </c>
      <c r="C2" s="249" t="str">
        <f>dashboard!F3</f>
        <v>พระนคร</v>
      </c>
      <c r="D2" s="249"/>
    </row>
    <row r="3" spans="2:14" ht="13.5" customHeight="1">
      <c r="B3" s="46"/>
    </row>
    <row r="4" spans="2:14" s="90" customFormat="1">
      <c r="B4" s="86" t="s">
        <v>26</v>
      </c>
      <c r="C4" s="87">
        <f>VLOOKUP($C$2,ทะเบียนราษฏร์!$B$4:$AY$54,22,FALSE)</f>
        <v>13912</v>
      </c>
      <c r="D4" s="88" t="s">
        <v>27</v>
      </c>
      <c r="E4" s="87">
        <f>VLOOKUP($C$2,ทะเบียนราษฏร์!$B$4:$AY$54,20,FALSE)</f>
        <v>6228</v>
      </c>
      <c r="F4" s="91" t="s">
        <v>424</v>
      </c>
      <c r="G4" s="93">
        <f>E4/C4*100</f>
        <v>44.76710753306498</v>
      </c>
      <c r="H4" s="86"/>
      <c r="I4" s="86"/>
      <c r="K4" s="91" t="s">
        <v>30</v>
      </c>
      <c r="L4" s="91" t="s">
        <v>32</v>
      </c>
      <c r="M4" s="91" t="s">
        <v>15</v>
      </c>
      <c r="N4" s="91" t="s">
        <v>16</v>
      </c>
    </row>
    <row r="5" spans="2:14" s="90" customFormat="1">
      <c r="B5" s="95" t="s">
        <v>422</v>
      </c>
      <c r="C5" s="96">
        <f>VLOOKUP($C$2,ทะเบียนราษฏร์!$B$4:$AY$54,7,FALSE)</f>
        <v>2792</v>
      </c>
      <c r="D5" s="89" t="s">
        <v>28</v>
      </c>
      <c r="E5" s="87">
        <f>VLOOKUP($C$2,ทะเบียนราษฏร์!$B$4:$AY$54,21,FALSE)</f>
        <v>7684</v>
      </c>
      <c r="F5" s="94" t="s">
        <v>425</v>
      </c>
      <c r="G5" s="92">
        <f>E5/C4*100</f>
        <v>55.232892466935027</v>
      </c>
      <c r="K5" s="91" t="s">
        <v>31</v>
      </c>
      <c r="L5" s="90">
        <f>-VLOOKUP($C$2,ทะเบียนราษฏร์!$B$4:$AY$54,5,FALSE)</f>
        <v>-1361</v>
      </c>
      <c r="M5" s="90">
        <f>VLOOKUP($C$2,ทะเบียนราษฏร์!$B$4:$AY$54,6,FALSE)</f>
        <v>1431</v>
      </c>
      <c r="N5" s="90">
        <f>VLOOKUP($C$2,ทะเบียนราษฏร์!$B$4:$AY$54,7,FALSE)</f>
        <v>2792</v>
      </c>
    </row>
    <row r="6" spans="2:14" s="90" customFormat="1">
      <c r="B6" s="95" t="s">
        <v>428</v>
      </c>
      <c r="C6" s="97">
        <f>VLOOKUP($C$2,ข้อมูลอื่นๆ!$B$2:$CQ$55,4,FALSE)</f>
        <v>315</v>
      </c>
      <c r="K6" s="91" t="s">
        <v>5</v>
      </c>
      <c r="L6" s="90">
        <f>-VLOOKUP($C$2,ทะเบียนราษฏร์!$B$4:$AY$54,23,FALSE)</f>
        <v>-1537</v>
      </c>
      <c r="M6" s="90">
        <f>VLOOKUP($C$2,ทะเบียนราษฏร์!$B$4:$AY$54,24,FALSE)</f>
        <v>1908</v>
      </c>
      <c r="N6" s="90">
        <f>VLOOKUP($C$2,ทะเบียนราษฏร์!$B$4:$AY$54,25,FALSE)</f>
        <v>3445</v>
      </c>
    </row>
    <row r="7" spans="2:14" s="90" customFormat="1">
      <c r="B7" s="95" t="s">
        <v>432</v>
      </c>
      <c r="C7" s="148">
        <f>C6/C4*100</f>
        <v>2.2642323174238066</v>
      </c>
      <c r="K7" s="91" t="s">
        <v>6</v>
      </c>
      <c r="L7" s="90">
        <f>-VLOOKUP($C$2,ทะเบียนราษฏร์!$B$4:$AY$54,26,FALSE)</f>
        <v>-1466</v>
      </c>
      <c r="M7" s="90">
        <f>VLOOKUP($C$2,ทะเบียนราษฏร์!$B$4:$AY$54,27,FALSE)</f>
        <v>1709</v>
      </c>
      <c r="N7" s="90">
        <f>VLOOKUP($C$2,ทะเบียนราษฏร์!$B$4:$AY$54,28,FALSE)</f>
        <v>3175</v>
      </c>
    </row>
    <row r="8" spans="2:14" s="90" customFormat="1">
      <c r="B8" s="95"/>
      <c r="K8" s="91" t="s">
        <v>7</v>
      </c>
      <c r="L8" s="90">
        <f>-VLOOKUP($C$2,ทะเบียนราษฏร์!$B$4:$AY$54,29,FALSE)</f>
        <v>-1037</v>
      </c>
      <c r="M8" s="90">
        <f>VLOOKUP($C$2,ทะเบียนราษฏร์!$B$4:$AY$54,30,FALSE)</f>
        <v>1353</v>
      </c>
      <c r="N8" s="90">
        <f>VLOOKUP($C$2,ทะเบียนราษฏร์!$B$4:$AY$54,31,FALSE)</f>
        <v>2390</v>
      </c>
    </row>
    <row r="9" spans="2:14" s="90" customFormat="1">
      <c r="B9" s="95"/>
      <c r="C9" s="97"/>
      <c r="D9" s="95"/>
      <c r="K9" s="91" t="s">
        <v>8</v>
      </c>
      <c r="L9" s="90">
        <f>-VLOOKUP($C$2,ทะเบียนราษฏร์!$B$4:$AY$54,32,FALSE)</f>
        <v>-754</v>
      </c>
      <c r="M9" s="90">
        <f>VLOOKUP($C$2,ทะเบียนราษฏร์!$B$4:$AY$54,33,FALSE)</f>
        <v>913</v>
      </c>
      <c r="N9" s="90">
        <f>VLOOKUP($C$2,ทะเบียนราษฏร์!$B$4:$AY$54,34,FALSE)</f>
        <v>1667</v>
      </c>
    </row>
    <row r="10" spans="2:14" s="90" customFormat="1" ht="28.5" thickBot="1">
      <c r="B10" s="95"/>
      <c r="C10" s="95"/>
      <c r="D10" s="95"/>
      <c r="K10" s="91" t="s">
        <v>9</v>
      </c>
      <c r="L10" s="90">
        <f>-VLOOKUP($C$2,ทะเบียนราษฏร์!$B$4:$AY$54,35,FALSE)</f>
        <v>-613</v>
      </c>
      <c r="M10" s="90">
        <f>VLOOKUP($C$2,ทะเบียนราษฏร์!$B$4:$AY$54,36,FALSE)</f>
        <v>854</v>
      </c>
      <c r="N10" s="90">
        <f>VLOOKUP($C$2,ทะเบียนราษฏร์!$B$4:$AY$54,37,FALSE)</f>
        <v>1467</v>
      </c>
    </row>
    <row r="11" spans="2:14" s="90" customFormat="1" ht="28.5" thickBot="1">
      <c r="B11" s="98" t="s">
        <v>77</v>
      </c>
      <c r="C11" s="99">
        <f>VLOOKUP($C$2,ข้อมูลอื่นๆ!$B$2:$CQ$55,49,FALSE)</f>
        <v>10526</v>
      </c>
      <c r="D11" s="100" t="s">
        <v>27</v>
      </c>
      <c r="E11" s="101">
        <f>VLOOKUP($C$2,ข้อมูลอื่นๆ!$B$2:$CQ$55,47,FALSE)</f>
        <v>4218</v>
      </c>
      <c r="F11" s="102" t="s">
        <v>28</v>
      </c>
      <c r="G11" s="101">
        <f>VLOOKUP($C$2,ข้อมูลอื่นๆ!$B$2:$CQ$55,48,FALSE)</f>
        <v>6308</v>
      </c>
      <c r="H11" s="103" t="s">
        <v>76</v>
      </c>
      <c r="I11" s="104">
        <f>C11/C4*100</f>
        <v>75.661299597469807</v>
      </c>
      <c r="K11" s="91" t="s">
        <v>10</v>
      </c>
      <c r="L11" s="90">
        <f>-VLOOKUP($C$2,ทะเบียนราษฏร์!$B$4:$AY$54,38,FALSE)</f>
        <v>-392</v>
      </c>
      <c r="M11" s="90">
        <f>VLOOKUP($C$2,ทะเบียนราษฏร์!$B$4:$AY$54,39,FALSE)</f>
        <v>555</v>
      </c>
      <c r="N11" s="90">
        <f>VLOOKUP($C$2,ทะเบียนราษฏร์!$B$4:$AY$54,40,FALSE)</f>
        <v>947</v>
      </c>
    </row>
    <row r="12" spans="2:14" s="90" customFormat="1">
      <c r="B12" s="105" t="s">
        <v>81</v>
      </c>
      <c r="C12" s="106">
        <f>VLOOKUP($C$2,ข้อมูลอื่นๆ!$B$2:$CQ$55,52,FALSE)</f>
        <v>5756</v>
      </c>
      <c r="D12" s="108" t="s">
        <v>27</v>
      </c>
      <c r="E12" s="109">
        <f>VLOOKUP($C$2,ข้อมูลอื่นๆ!$B$2:$CQ$55,50,FALSE)</f>
        <v>2471</v>
      </c>
      <c r="F12" s="110" t="s">
        <v>28</v>
      </c>
      <c r="G12" s="109">
        <f>VLOOKUP($C$2,ข้อมูลอื่นๆ!$B$2:$CQ$55,51,FALSE)</f>
        <v>3285</v>
      </c>
      <c r="H12" s="111" t="s">
        <v>76</v>
      </c>
      <c r="I12" s="112">
        <f>C12/C11*100</f>
        <v>54.68364050921528</v>
      </c>
      <c r="K12" s="91" t="s">
        <v>11</v>
      </c>
      <c r="L12" s="90">
        <f>-VLOOKUP($C$2,ทะเบียนราษฏร์!$B$4:$AY$54,41,FALSE)</f>
        <v>-203</v>
      </c>
      <c r="M12" s="90">
        <f>VLOOKUP($C$2,ทะเบียนราษฏร์!$B$4:$AY$54,42,FALSE)</f>
        <v>255</v>
      </c>
      <c r="N12" s="90">
        <f>VLOOKUP($C$2,ทะเบียนราษฏร์!$B$4:$AY$54,43,FALSE)</f>
        <v>458</v>
      </c>
    </row>
    <row r="13" spans="2:14" s="90" customFormat="1">
      <c r="B13" s="105" t="s">
        <v>82</v>
      </c>
      <c r="C13" s="106">
        <f>VLOOKUP($C$2,ข้อมูลอื่นๆ!$B$2:$CQ$55,55,FALSE)</f>
        <v>3110</v>
      </c>
      <c r="D13" s="108" t="s">
        <v>27</v>
      </c>
      <c r="E13" s="109">
        <f>VLOOKUP($C$2,ข้อมูลอื่นๆ!$B$2:$CQ$55,53,FALSE)</f>
        <v>1242</v>
      </c>
      <c r="F13" s="110" t="s">
        <v>28</v>
      </c>
      <c r="G13" s="109">
        <f>VLOOKUP($C$2,ข้อมูลอื่นๆ!$B$2:$CQ$55,54,FALSE)</f>
        <v>1868</v>
      </c>
      <c r="H13" s="107" t="s">
        <v>76</v>
      </c>
      <c r="I13" s="113">
        <f>C13/C11*100</f>
        <v>29.545886376591294</v>
      </c>
      <c r="K13" s="91" t="s">
        <v>12</v>
      </c>
      <c r="L13" s="90">
        <f>-VLOOKUP($C$2,ทะเบียนราษฏร์!$B$4:$AY$54,44,FALSE)</f>
        <v>-120</v>
      </c>
      <c r="M13" s="90">
        <f>VLOOKUP($C$2,ทะเบียนราษฏร์!$B$4:$AY$54,45,FALSE)</f>
        <v>93</v>
      </c>
      <c r="N13" s="90">
        <f>VLOOKUP($C$2,ทะเบียนราษฏร์!$B$4:$AY$54,46,FALSE)</f>
        <v>213</v>
      </c>
    </row>
    <row r="14" spans="2:14" s="90" customFormat="1" ht="28.5" thickBot="1">
      <c r="B14" s="114" t="s">
        <v>83</v>
      </c>
      <c r="C14" s="115">
        <f>VLOOKUP($C$2,ข้อมูลอื่นๆ!$B$2:$CQ$55,58,FALSE)</f>
        <v>1660</v>
      </c>
      <c r="D14" s="117" t="s">
        <v>27</v>
      </c>
      <c r="E14" s="118">
        <f>VLOOKUP($C$2,ข้อมูลอื่นๆ!$B$2:$CQ$55,56,FALSE)</f>
        <v>505</v>
      </c>
      <c r="F14" s="119" t="s">
        <v>28</v>
      </c>
      <c r="G14" s="118">
        <f>VLOOKUP($C$2,ข้อมูลอื่นๆ!$B$2:$CQ$55,57,FALSE)</f>
        <v>1155</v>
      </c>
      <c r="H14" s="116" t="s">
        <v>76</v>
      </c>
      <c r="I14" s="120">
        <f>C14/C11*100</f>
        <v>15.770473114193425</v>
      </c>
      <c r="K14" s="91" t="s">
        <v>419</v>
      </c>
      <c r="L14" s="90">
        <f>-VLOOKUP($C$2,ทะเบียนราษฏร์!$B$4:$AY$54,47,FALSE)</f>
        <v>-106</v>
      </c>
      <c r="M14" s="90">
        <f>VLOOKUP($C$2,ทะเบียนราษฏร์!$B$4:$AY$54,48,FALSE)</f>
        <v>44</v>
      </c>
      <c r="N14" s="90">
        <f>VLOOKUP($C$2,ทะเบียนราษฏร์!$B$4:$AY$54,49,FALSE)</f>
        <v>150</v>
      </c>
    </row>
    <row r="15" spans="2:14" s="90" customFormat="1" ht="28.5" thickBot="1">
      <c r="B15" s="98" t="s">
        <v>78</v>
      </c>
      <c r="C15" s="99">
        <f>VLOOKUP($C$2,ข้อมูลอื่นๆ!$B$2:$CQ$55,61,FALSE)</f>
        <v>471</v>
      </c>
      <c r="D15" s="100" t="s">
        <v>27</v>
      </c>
      <c r="E15" s="101">
        <f>VLOOKUP($C$2,ข้อมูลอื่นๆ!$B$2:$CQ$55,59,FALSE)</f>
        <v>264</v>
      </c>
      <c r="F15" s="102" t="s">
        <v>28</v>
      </c>
      <c r="G15" s="101">
        <f>VLOOKUP($C$2,ข้อมูลอื่นๆ!$B$2:$CQ$55,60,FALSE)</f>
        <v>207</v>
      </c>
      <c r="H15" s="103" t="s">
        <v>76</v>
      </c>
      <c r="I15" s="104">
        <f>C15/C4*100</f>
        <v>3.3855664174813107</v>
      </c>
    </row>
    <row r="16" spans="2:14" s="90" customFormat="1">
      <c r="B16" s="105" t="s">
        <v>81</v>
      </c>
      <c r="C16" s="106">
        <f>VLOOKUP($C$2,ข้อมูลอื่นๆ!$B$2:$CQ$55,64,FALSE)</f>
        <v>179</v>
      </c>
      <c r="D16" s="108" t="s">
        <v>27</v>
      </c>
      <c r="E16" s="109">
        <f>VLOOKUP($C$2,ข้อมูลอื่นๆ!$B$2:$CQ$55,62,FALSE)</f>
        <v>97</v>
      </c>
      <c r="F16" s="110" t="s">
        <v>28</v>
      </c>
      <c r="G16" s="109">
        <f>VLOOKUP($C$2,ข้อมูลอื่นๆ!$B$2:$CQ$55,63,FALSE)</f>
        <v>82</v>
      </c>
      <c r="H16" s="111" t="s">
        <v>76</v>
      </c>
      <c r="I16" s="112">
        <f>C16/C15*100</f>
        <v>38.004246284501065</v>
      </c>
    </row>
    <row r="17" spans="2:12" s="90" customFormat="1">
      <c r="B17" s="105" t="s">
        <v>82</v>
      </c>
      <c r="C17" s="106">
        <f>VLOOKUP($C$2,ข้อมูลอื่นๆ!$B$2:$CQ$55,67,FALSE)</f>
        <v>147</v>
      </c>
      <c r="D17" s="108" t="s">
        <v>27</v>
      </c>
      <c r="E17" s="109">
        <f>VLOOKUP($C$2,ข้อมูลอื่นๆ!$B$2:$CQ$55,65,FALSE)</f>
        <v>73</v>
      </c>
      <c r="F17" s="110" t="s">
        <v>28</v>
      </c>
      <c r="G17" s="109">
        <f>VLOOKUP($C$2,ข้อมูลอื่นๆ!$B$2:$CQ$55,66,FALSE)</f>
        <v>74</v>
      </c>
      <c r="H17" s="107" t="s">
        <v>76</v>
      </c>
      <c r="I17" s="113">
        <f>C17/C15*100</f>
        <v>31.210191082802545</v>
      </c>
    </row>
    <row r="18" spans="2:12" s="90" customFormat="1" ht="28.5" thickBot="1">
      <c r="B18" s="121" t="s">
        <v>83</v>
      </c>
      <c r="C18" s="122">
        <f>VLOOKUP($C$2,ข้อมูลอื่นๆ!$B$2:$CQ$55,70,FALSE)</f>
        <v>145</v>
      </c>
      <c r="D18" s="124" t="s">
        <v>27</v>
      </c>
      <c r="E18" s="125">
        <f>VLOOKUP($C$2,ข้อมูลอื่นๆ!$B$2:$CQ$55,68,FALSE)</f>
        <v>94</v>
      </c>
      <c r="F18" s="126" t="s">
        <v>28</v>
      </c>
      <c r="G18" s="125">
        <f>VLOOKUP($C$2,ข้อมูลอื่นๆ!$B$2:$CQ$55,59,FALSE)</f>
        <v>264</v>
      </c>
      <c r="H18" s="123" t="s">
        <v>76</v>
      </c>
      <c r="I18" s="127">
        <f>C18/C15*100</f>
        <v>30.78556263269639</v>
      </c>
    </row>
    <row r="19" spans="2:12" s="90" customFormat="1">
      <c r="B19" s="95" t="s">
        <v>79</v>
      </c>
      <c r="C19" s="96">
        <f>VLOOKUP($C$2,ข้อมูลอื่นๆ!$B$2:$CQ$55,25,FALSE)</f>
        <v>55</v>
      </c>
      <c r="D19" s="128" t="s">
        <v>27</v>
      </c>
      <c r="E19" s="87">
        <f>VLOOKUP($C$2,ข้อมูลอื่นๆ!$B$2:$CQ$55,23,FALSE)</f>
        <v>20</v>
      </c>
      <c r="F19" s="129" t="s">
        <v>28</v>
      </c>
      <c r="G19" s="87">
        <f>VLOOKUP($C$2,ข้อมูลอื่นๆ!$B$2:$CQ$55,24,FALSE)</f>
        <v>35</v>
      </c>
      <c r="H19" s="86" t="s">
        <v>76</v>
      </c>
      <c r="I19" s="130">
        <f>C19/C4*100</f>
        <v>0.39534215066129957</v>
      </c>
      <c r="K19" s="164"/>
      <c r="L19" s="164"/>
    </row>
    <row r="20" spans="2:12" s="90" customFormat="1">
      <c r="B20" s="105" t="s">
        <v>81</v>
      </c>
      <c r="C20" s="106">
        <f>VLOOKUP($C$2,ข้อมูลอื่นๆ!$B$2:$CQ$55,28,FALSE)</f>
        <v>14</v>
      </c>
      <c r="D20" s="108" t="s">
        <v>27</v>
      </c>
      <c r="E20" s="109">
        <f>VLOOKUP($C$2,ข้อมูลอื่นๆ!$B$2:$CQ$55,26,FALSE)</f>
        <v>7</v>
      </c>
      <c r="F20" s="110" t="s">
        <v>28</v>
      </c>
      <c r="G20" s="109">
        <f>VLOOKUP($C$2,ข้อมูลอื่นๆ!$B$2:$CQ$55,27,FALSE)</f>
        <v>7</v>
      </c>
      <c r="H20" s="111" t="s">
        <v>76</v>
      </c>
      <c r="I20" s="112">
        <f>C20/C19*100</f>
        <v>25.454545454545453</v>
      </c>
      <c r="K20" s="164"/>
    </row>
    <row r="21" spans="2:12" s="90" customFormat="1">
      <c r="B21" s="105" t="s">
        <v>82</v>
      </c>
      <c r="C21" s="106">
        <f>VLOOKUP($C$2,ข้อมูลอื่นๆ!$B$2:$CQ$55,31,FALSE)</f>
        <v>17</v>
      </c>
      <c r="D21" s="108" t="s">
        <v>27</v>
      </c>
      <c r="E21" s="109">
        <f>VLOOKUP($C$2,ข้อมูลอื่นๆ!$B$2:$CQ$55,29,FALSE)</f>
        <v>5</v>
      </c>
      <c r="F21" s="110" t="s">
        <v>28</v>
      </c>
      <c r="G21" s="109">
        <f>VLOOKUP($C$2,ข้อมูลอื่นๆ!$B$2:$CQ$55,30,FALSE)</f>
        <v>12</v>
      </c>
      <c r="H21" s="107" t="s">
        <v>76</v>
      </c>
      <c r="I21" s="113">
        <f>C21/C19*100</f>
        <v>30.909090909090907</v>
      </c>
    </row>
    <row r="22" spans="2:12" s="90" customFormat="1" ht="28.5" thickBot="1">
      <c r="B22" s="121" t="s">
        <v>83</v>
      </c>
      <c r="C22" s="122">
        <f>VLOOKUP($C$2,ข้อมูลอื่นๆ!$B$2:$CQ$55,34,FALSE)</f>
        <v>24</v>
      </c>
      <c r="D22" s="124" t="s">
        <v>27</v>
      </c>
      <c r="E22" s="125">
        <f>VLOOKUP($C$2,ข้อมูลอื่นๆ!$B$2:$CQ$55,32,FALSE)</f>
        <v>8</v>
      </c>
      <c r="F22" s="126" t="s">
        <v>28</v>
      </c>
      <c r="G22" s="125">
        <f>VLOOKUP($C$2,ข้อมูลอื่นๆ!$B$2:$CQ$55,33,FALSE)</f>
        <v>16</v>
      </c>
      <c r="H22" s="123" t="s">
        <v>76</v>
      </c>
      <c r="I22" s="127">
        <f>C22/C19*100</f>
        <v>43.636363636363633</v>
      </c>
    </row>
    <row r="23" spans="2:12" s="90" customFormat="1">
      <c r="B23" s="95" t="s">
        <v>80</v>
      </c>
      <c r="C23" s="96">
        <f>VLOOKUP($C$2,ข้อมูลอื่นๆ!$B$2:$CQ$55,37,FALSE)</f>
        <v>55</v>
      </c>
      <c r="D23" s="128" t="s">
        <v>27</v>
      </c>
      <c r="E23" s="87">
        <f>VLOOKUP($C$2,ข้อมูลอื่นๆ!$B$2:$CQ$55,35,FALSE)</f>
        <v>20</v>
      </c>
      <c r="F23" s="129" t="s">
        <v>28</v>
      </c>
      <c r="G23" s="87">
        <f>VLOOKUP($C$2,ข้อมูลอื่นๆ!$B$2:$CQ$55,36,FALSE)</f>
        <v>35</v>
      </c>
      <c r="H23" s="86" t="s">
        <v>76</v>
      </c>
      <c r="I23" s="130">
        <f>C23/C19*100</f>
        <v>100</v>
      </c>
    </row>
    <row r="24" spans="2:12" s="90" customFormat="1">
      <c r="B24" s="105" t="s">
        <v>81</v>
      </c>
      <c r="C24" s="106">
        <f>VLOOKUP($C$2,ข้อมูลอื่นๆ!$B$2:$CQ$55,40,FALSE)</f>
        <v>14</v>
      </c>
      <c r="D24" s="108" t="s">
        <v>27</v>
      </c>
      <c r="E24" s="109">
        <f>VLOOKUP($C$2,ข้อมูลอื่นๆ!$B$2:$CQ$55,38,FALSE)</f>
        <v>7</v>
      </c>
      <c r="F24" s="110" t="s">
        <v>28</v>
      </c>
      <c r="G24" s="109">
        <f>VLOOKUP($C$2,ข้อมูลอื่นๆ!$B$2:$CQ$55,39,FALSE)</f>
        <v>7</v>
      </c>
      <c r="H24" s="111" t="s">
        <v>76</v>
      </c>
      <c r="I24" s="112">
        <f>C24/C23*100</f>
        <v>25.454545454545453</v>
      </c>
    </row>
    <row r="25" spans="2:12" s="90" customFormat="1">
      <c r="B25" s="105" t="s">
        <v>82</v>
      </c>
      <c r="C25" s="106">
        <f>VLOOKUP($C$2,ข้อมูลอื่นๆ!$B$2:$CQ$55,43,FALSE)</f>
        <v>17</v>
      </c>
      <c r="D25" s="108" t="s">
        <v>27</v>
      </c>
      <c r="E25" s="109">
        <f>VLOOKUP($C$2,ข้อมูลอื่นๆ!$B$2:$CQ$55,41,FALSE)</f>
        <v>5</v>
      </c>
      <c r="F25" s="110" t="s">
        <v>28</v>
      </c>
      <c r="G25" s="109">
        <f>VLOOKUP($C$2,ข้อมูลอื่นๆ!$B$2:$CQ$55,42,FALSE)</f>
        <v>12</v>
      </c>
      <c r="H25" s="107" t="s">
        <v>76</v>
      </c>
      <c r="I25" s="113">
        <f>C25/C23*100</f>
        <v>30.909090909090907</v>
      </c>
    </row>
    <row r="26" spans="2:12" s="90" customFormat="1" ht="28.5" thickBot="1">
      <c r="B26" s="121" t="s">
        <v>83</v>
      </c>
      <c r="C26" s="122">
        <f>VLOOKUP($C$2,ข้อมูลอื่นๆ!$B$2:$CQ$55,46,FALSE)</f>
        <v>24</v>
      </c>
      <c r="D26" s="124" t="s">
        <v>27</v>
      </c>
      <c r="E26" s="125">
        <f>VLOOKUP($C$2,ข้อมูลอื่นๆ!$B$2:$CQ$55,44,FALSE)</f>
        <v>8</v>
      </c>
      <c r="F26" s="126" t="s">
        <v>28</v>
      </c>
      <c r="G26" s="125">
        <f>VLOOKUP($C$2,ข้อมูลอื่นๆ!$B$2:$CQ$55,45,FALSE)</f>
        <v>16</v>
      </c>
      <c r="H26" s="123" t="s">
        <v>76</v>
      </c>
      <c r="I26" s="127">
        <f>C26/C23*100</f>
        <v>43.636363636363633</v>
      </c>
    </row>
    <row r="27" spans="2:12" s="90" customFormat="1" ht="15" customHeight="1">
      <c r="B27" s="95"/>
      <c r="C27" s="96"/>
      <c r="D27" s="96"/>
      <c r="E27" s="96"/>
      <c r="F27" s="96"/>
      <c r="G27" s="96"/>
    </row>
    <row r="28" spans="2:12" s="90" customFormat="1">
      <c r="B28" s="95" t="s">
        <v>84</v>
      </c>
      <c r="C28" s="96">
        <f>VLOOKUP($C$2,ชมรม!$B$5:$D$55,2,FALSE)</f>
        <v>6</v>
      </c>
      <c r="D28" s="96"/>
      <c r="E28" s="96"/>
      <c r="F28" s="96"/>
      <c r="G28" s="96"/>
    </row>
    <row r="29" spans="2:12" s="90" customFormat="1">
      <c r="B29" s="95" t="s">
        <v>423</v>
      </c>
      <c r="C29" s="96">
        <f>VLOOKUP($C$2,ชมรม!$B$5:$D$55,3,FALSE)</f>
        <v>213</v>
      </c>
      <c r="D29" s="163">
        <f>C29/C4*100</f>
        <v>1.5310523289246694</v>
      </c>
      <c r="E29" s="96"/>
      <c r="F29" s="96"/>
      <c r="G29" s="96"/>
    </row>
    <row r="30" spans="2:12" s="90" customFormat="1" ht="28.5" thickBot="1"/>
    <row r="31" spans="2:12" ht="28.5" thickBot="1">
      <c r="B31" s="98" t="s">
        <v>26</v>
      </c>
      <c r="C31" s="99">
        <f>VLOOKUP($C$2,ทะเบียนราษฏร์!$B$4:$BG$54,22,FALSE)</f>
        <v>13912</v>
      </c>
      <c r="D31" s="100" t="s">
        <v>27</v>
      </c>
      <c r="E31" s="101">
        <f>VLOOKUP($C$2,ทะเบียนราษฏร์!$B$4:$BG$54,20,FALSE)</f>
        <v>6228</v>
      </c>
      <c r="F31" s="102" t="s">
        <v>28</v>
      </c>
      <c r="G31" s="101">
        <f>VLOOKUP($C$2,ทะเบียนราษฏร์!$B$4:$BG$54,21,FALSE)</f>
        <v>7684</v>
      </c>
      <c r="H31" s="103" t="s">
        <v>76</v>
      </c>
      <c r="I31" s="104"/>
    </row>
    <row r="32" spans="2:12">
      <c r="B32" s="105" t="s">
        <v>81</v>
      </c>
      <c r="C32" s="106">
        <f>VLOOKUP($C$2,ทะเบียนราษฏร์!$B$4:$BG$54,52,FALSE)</f>
        <v>6620</v>
      </c>
      <c r="D32" s="108" t="s">
        <v>27</v>
      </c>
      <c r="E32" s="109">
        <f>VLOOKUP($C$2,ทะเบียนราษฏร์!$B$4:$BG$54,50,FALSE)</f>
        <v>3003</v>
      </c>
      <c r="F32" s="110" t="s">
        <v>28</v>
      </c>
      <c r="G32" s="109">
        <f>VLOOKUP($C$2,ทะเบียนราษฏร์!$B$4:$BG$54,51,FALSE)</f>
        <v>3617</v>
      </c>
      <c r="H32" s="111" t="s">
        <v>76</v>
      </c>
      <c r="I32" s="112">
        <f>C32/C31*100</f>
        <v>47.584818861414604</v>
      </c>
    </row>
    <row r="33" spans="2:9">
      <c r="B33" s="105" t="s">
        <v>82</v>
      </c>
      <c r="C33" s="106">
        <f>VLOOKUP($C$2,ทะเบียนราษฏร์!$B$4:$BG$54,55,FALSE)</f>
        <v>4057</v>
      </c>
      <c r="D33" s="108" t="s">
        <v>27</v>
      </c>
      <c r="E33" s="109">
        <f>VLOOKUP($C$2,ทะเบียนราษฏร์!$B$4:$BG$54,53,FALSE)</f>
        <v>1791</v>
      </c>
      <c r="F33" s="110" t="s">
        <v>28</v>
      </c>
      <c r="G33" s="109">
        <f>VLOOKUP($C$2,ทะเบียนราษฏร์!$B$4:$BG$54,54,FALSE)</f>
        <v>2266</v>
      </c>
      <c r="H33" s="107" t="s">
        <v>76</v>
      </c>
      <c r="I33" s="113">
        <f>C33/C31*100</f>
        <v>29.161874640598047</v>
      </c>
    </row>
    <row r="34" spans="2:9">
      <c r="B34" s="114" t="s">
        <v>83</v>
      </c>
      <c r="C34" s="115">
        <f>VLOOKUP($C$2,ทะเบียนราษฏร์!$B$4:$BG$54,58,FALSE)</f>
        <v>3235</v>
      </c>
      <c r="D34" s="117" t="s">
        <v>27</v>
      </c>
      <c r="E34" s="118">
        <f>VLOOKUP($C$2,ทะเบียนราษฏร์!$B$4:$BG$54,56,FALSE)</f>
        <v>1434</v>
      </c>
      <c r="F34" s="119" t="s">
        <v>28</v>
      </c>
      <c r="G34" s="118">
        <f>VLOOKUP($C$2,ทะเบียนราษฏร์!$B$4:$BG$54,57,FALSE)</f>
        <v>1801</v>
      </c>
      <c r="H34" s="116" t="s">
        <v>76</v>
      </c>
      <c r="I34" s="120">
        <f>C34/C31*100</f>
        <v>23.253306497987349</v>
      </c>
    </row>
    <row r="35" spans="2:9" ht="28.5" thickBot="1"/>
    <row r="36" spans="2:9" ht="28.5" thickBot="1">
      <c r="B36" s="98" t="s">
        <v>433</v>
      </c>
      <c r="C36" s="99">
        <f>C31-C11</f>
        <v>3386</v>
      </c>
      <c r="D36" s="100" t="s">
        <v>27</v>
      </c>
      <c r="E36" s="101">
        <f>E31-E11</f>
        <v>2010</v>
      </c>
      <c r="F36" s="102" t="s">
        <v>28</v>
      </c>
      <c r="G36" s="101">
        <f>G31-G11</f>
        <v>1376</v>
      </c>
      <c r="H36" s="103" t="s">
        <v>76</v>
      </c>
      <c r="I36" s="104"/>
    </row>
    <row r="37" spans="2:9" ht="28.5" thickBot="1">
      <c r="B37" s="105" t="s">
        <v>81</v>
      </c>
      <c r="C37" s="99">
        <f>C32-C12</f>
        <v>864</v>
      </c>
      <c r="D37" s="108" t="s">
        <v>27</v>
      </c>
      <c r="E37" s="109">
        <f>E32-E12</f>
        <v>532</v>
      </c>
      <c r="F37" s="110" t="s">
        <v>28</v>
      </c>
      <c r="G37" s="109">
        <f t="shared" ref="G37" si="0">G32-G12</f>
        <v>332</v>
      </c>
      <c r="H37" s="111" t="s">
        <v>76</v>
      </c>
      <c r="I37" s="112">
        <f>C37/C36*100</f>
        <v>25.516834022445362</v>
      </c>
    </row>
    <row r="38" spans="2:9" ht="28.5" thickBot="1">
      <c r="B38" s="105" t="s">
        <v>82</v>
      </c>
      <c r="C38" s="99">
        <f>C33-C13</f>
        <v>947</v>
      </c>
      <c r="D38" s="108" t="s">
        <v>27</v>
      </c>
      <c r="E38" s="109">
        <f>E33-E13</f>
        <v>549</v>
      </c>
      <c r="F38" s="110" t="s">
        <v>28</v>
      </c>
      <c r="G38" s="109">
        <f t="shared" ref="G38" si="1">G33-G13</f>
        <v>398</v>
      </c>
      <c r="H38" s="107" t="s">
        <v>76</v>
      </c>
      <c r="I38" s="113">
        <f>C38/C36*100</f>
        <v>27.968103957471946</v>
      </c>
    </row>
    <row r="39" spans="2:9">
      <c r="B39" s="114" t="s">
        <v>83</v>
      </c>
      <c r="C39" s="99">
        <f>C34-C14</f>
        <v>1575</v>
      </c>
      <c r="D39" s="117" t="s">
        <v>27</v>
      </c>
      <c r="E39" s="118">
        <f>E34-E14</f>
        <v>929</v>
      </c>
      <c r="F39" s="119" t="s">
        <v>28</v>
      </c>
      <c r="G39" s="118">
        <f t="shared" ref="G39" si="2">G34-G14</f>
        <v>646</v>
      </c>
      <c r="H39" s="116" t="s">
        <v>76</v>
      </c>
      <c r="I39" s="120">
        <f>C39/C36*100</f>
        <v>46.515062020082695</v>
      </c>
    </row>
  </sheetData>
  <sheetProtection algorithmName="SHA-512" hashValue="xgBRz7BnkzbqhHvfe6w96wF4ydFKmT4jghNZeEWBkYxHDFdm809bU7HNaUToYSIVnSrXIEgY4x1jTmrdoWfxww==" saltValue="PoWKJyiJ98WYly7vFDWoww==" spinCount="100000" sheet="1" selectLockedCells="1"/>
  <mergeCells count="2">
    <mergeCell ref="C1:E1"/>
    <mergeCell ref="C2:D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E64BA-590A-46F5-BF5D-EAD27DD0D459}">
  <dimension ref="B2:AZ16"/>
  <sheetViews>
    <sheetView workbookViewId="0"/>
  </sheetViews>
  <sheetFormatPr defaultRowHeight="15"/>
  <cols>
    <col min="1" max="1" width="5.140625" customWidth="1"/>
    <col min="2" max="2" width="15.42578125" style="296" customWidth="1"/>
    <col min="3" max="3" width="9.85546875" customWidth="1"/>
  </cols>
  <sheetData>
    <row r="2" spans="2:52" ht="72">
      <c r="B2" s="308" t="s">
        <v>85</v>
      </c>
      <c r="C2" s="309" t="s">
        <v>652</v>
      </c>
      <c r="D2" s="310" t="s">
        <v>45</v>
      </c>
      <c r="E2" s="309" t="s">
        <v>56</v>
      </c>
      <c r="F2" s="310" t="s">
        <v>59</v>
      </c>
      <c r="G2" s="309" t="s">
        <v>63</v>
      </c>
      <c r="H2" s="310" t="s">
        <v>73</v>
      </c>
      <c r="I2" s="309" t="s">
        <v>55</v>
      </c>
      <c r="J2" s="310" t="s">
        <v>69</v>
      </c>
      <c r="K2" s="309" t="s">
        <v>29</v>
      </c>
      <c r="L2" s="310" t="s">
        <v>33</v>
      </c>
      <c r="M2" s="309" t="s">
        <v>51</v>
      </c>
      <c r="N2" s="310" t="s">
        <v>50</v>
      </c>
      <c r="O2" s="309" t="s">
        <v>25</v>
      </c>
      <c r="P2" s="310" t="s">
        <v>57</v>
      </c>
      <c r="Q2" s="309" t="s">
        <v>53</v>
      </c>
      <c r="R2" s="310" t="s">
        <v>54</v>
      </c>
      <c r="S2" s="309" t="s">
        <v>66</v>
      </c>
      <c r="T2" s="310" t="s">
        <v>22</v>
      </c>
      <c r="U2" s="309" t="s">
        <v>67</v>
      </c>
      <c r="V2" s="310" t="s">
        <v>43</v>
      </c>
      <c r="W2" s="309" t="s">
        <v>20</v>
      </c>
      <c r="X2" s="310" t="s">
        <v>72</v>
      </c>
      <c r="Y2" s="309" t="s">
        <v>48</v>
      </c>
      <c r="Z2" s="310" t="s">
        <v>23</v>
      </c>
      <c r="AA2" s="309" t="s">
        <v>52</v>
      </c>
      <c r="AB2" s="310" t="s">
        <v>41</v>
      </c>
      <c r="AC2" s="309" t="s">
        <v>64</v>
      </c>
      <c r="AD2" s="310" t="s">
        <v>40</v>
      </c>
      <c r="AE2" s="309" t="s">
        <v>58</v>
      </c>
      <c r="AF2" s="310" t="s">
        <v>34</v>
      </c>
      <c r="AG2" s="309" t="s">
        <v>37</v>
      </c>
      <c r="AH2" s="310" t="s">
        <v>47</v>
      </c>
      <c r="AI2" s="309" t="s">
        <v>18</v>
      </c>
      <c r="AJ2" s="310" t="s">
        <v>19</v>
      </c>
      <c r="AK2" s="309" t="s">
        <v>61</v>
      </c>
      <c r="AL2" s="310" t="s">
        <v>44</v>
      </c>
      <c r="AM2" s="309" t="s">
        <v>38</v>
      </c>
      <c r="AN2" s="310" t="s">
        <v>24</v>
      </c>
      <c r="AO2" s="309" t="s">
        <v>62</v>
      </c>
      <c r="AP2" s="310" t="s">
        <v>71</v>
      </c>
      <c r="AQ2" s="309" t="s">
        <v>39</v>
      </c>
      <c r="AR2" s="310" t="s">
        <v>46</v>
      </c>
      <c r="AS2" s="309" t="s">
        <v>49</v>
      </c>
      <c r="AT2" s="310" t="s">
        <v>65</v>
      </c>
      <c r="AU2" s="309" t="s">
        <v>42</v>
      </c>
      <c r="AV2" s="310" t="s">
        <v>68</v>
      </c>
      <c r="AW2" s="309" t="s">
        <v>21</v>
      </c>
      <c r="AX2" s="310" t="s">
        <v>60</v>
      </c>
      <c r="AY2" s="309" t="s">
        <v>70</v>
      </c>
      <c r="AZ2" s="310" t="s">
        <v>36</v>
      </c>
    </row>
    <row r="3" spans="2:52" ht="48">
      <c r="B3" s="311" t="s">
        <v>650</v>
      </c>
      <c r="C3" s="312" t="s">
        <v>653</v>
      </c>
      <c r="D3" s="312" t="s">
        <v>654</v>
      </c>
      <c r="E3" s="312" t="s">
        <v>655</v>
      </c>
      <c r="F3" s="312" t="s">
        <v>656</v>
      </c>
      <c r="G3" s="312" t="s">
        <v>656</v>
      </c>
      <c r="H3" s="312" t="s">
        <v>657</v>
      </c>
      <c r="I3" s="312" t="s">
        <v>655</v>
      </c>
      <c r="J3" s="312" t="s">
        <v>657</v>
      </c>
      <c r="K3" s="312" t="s">
        <v>653</v>
      </c>
      <c r="L3" s="312" t="s">
        <v>653</v>
      </c>
      <c r="M3" s="312" t="s">
        <v>655</v>
      </c>
      <c r="N3" s="312" t="s">
        <v>655</v>
      </c>
      <c r="O3" s="312" t="s">
        <v>658</v>
      </c>
      <c r="P3" s="312" t="s">
        <v>655</v>
      </c>
      <c r="Q3" s="312" t="s">
        <v>655</v>
      </c>
      <c r="R3" s="312" t="s">
        <v>655</v>
      </c>
      <c r="S3" s="312" t="s">
        <v>656</v>
      </c>
      <c r="T3" s="312" t="s">
        <v>658</v>
      </c>
      <c r="U3" s="312" t="s">
        <v>657</v>
      </c>
      <c r="V3" s="312" t="s">
        <v>654</v>
      </c>
      <c r="W3" s="312" t="s">
        <v>658</v>
      </c>
      <c r="X3" s="312" t="s">
        <v>657</v>
      </c>
      <c r="Y3" s="312" t="s">
        <v>654</v>
      </c>
      <c r="Z3" s="312" t="s">
        <v>658</v>
      </c>
      <c r="AA3" s="312" t="s">
        <v>655</v>
      </c>
      <c r="AB3" s="312" t="s">
        <v>654</v>
      </c>
      <c r="AC3" s="312" t="s">
        <v>656</v>
      </c>
      <c r="AD3" s="312" t="s">
        <v>654</v>
      </c>
      <c r="AE3" s="312" t="s">
        <v>656</v>
      </c>
      <c r="AF3" s="312" t="s">
        <v>653</v>
      </c>
      <c r="AG3" s="312" t="s">
        <v>653</v>
      </c>
      <c r="AH3" s="312" t="s">
        <v>654</v>
      </c>
      <c r="AI3" s="312" t="s">
        <v>653</v>
      </c>
      <c r="AJ3" s="312" t="s">
        <v>658</v>
      </c>
      <c r="AK3" s="312" t="s">
        <v>656</v>
      </c>
      <c r="AL3" s="312" t="s">
        <v>654</v>
      </c>
      <c r="AM3" s="312" t="s">
        <v>653</v>
      </c>
      <c r="AN3" s="312" t="s">
        <v>658</v>
      </c>
      <c r="AO3" s="312" t="s">
        <v>656</v>
      </c>
      <c r="AP3" s="312" t="s">
        <v>657</v>
      </c>
      <c r="AQ3" s="312" t="s">
        <v>653</v>
      </c>
      <c r="AR3" s="312" t="s">
        <v>654</v>
      </c>
      <c r="AS3" s="312" t="s">
        <v>654</v>
      </c>
      <c r="AT3" s="312" t="s">
        <v>656</v>
      </c>
      <c r="AU3" s="312" t="s">
        <v>654</v>
      </c>
      <c r="AV3" s="312" t="s">
        <v>657</v>
      </c>
      <c r="AW3" s="312" t="s">
        <v>658</v>
      </c>
      <c r="AX3" s="312" t="s">
        <v>656</v>
      </c>
      <c r="AY3" s="312" t="s">
        <v>657</v>
      </c>
      <c r="AZ3" s="312" t="s">
        <v>653</v>
      </c>
    </row>
    <row r="4" spans="2:52" ht="24">
      <c r="B4" s="305" t="s">
        <v>651</v>
      </c>
      <c r="C4" s="293">
        <v>22463</v>
      </c>
      <c r="D4" s="293">
        <v>101244</v>
      </c>
      <c r="E4" s="293">
        <v>71197</v>
      </c>
      <c r="F4" s="293">
        <v>202094</v>
      </c>
      <c r="G4" s="293">
        <v>97095</v>
      </c>
      <c r="H4" s="293">
        <v>156605</v>
      </c>
      <c r="I4" s="293">
        <v>150108</v>
      </c>
      <c r="J4" s="293">
        <v>170021</v>
      </c>
      <c r="K4" s="293">
        <v>119150</v>
      </c>
      <c r="L4" s="293">
        <v>89769</v>
      </c>
      <c r="M4" s="293">
        <v>104779</v>
      </c>
      <c r="N4" s="293">
        <v>78548</v>
      </c>
      <c r="O4" s="293">
        <v>123048</v>
      </c>
      <c r="P4" s="293">
        <v>106049</v>
      </c>
      <c r="Q4" s="293">
        <v>107732</v>
      </c>
      <c r="R4" s="293">
        <v>66152</v>
      </c>
      <c r="S4" s="293">
        <v>146108</v>
      </c>
      <c r="T4" s="293">
        <v>185824</v>
      </c>
      <c r="U4" s="293">
        <v>189000</v>
      </c>
      <c r="V4" s="293">
        <v>86898</v>
      </c>
      <c r="W4" s="293">
        <v>193491</v>
      </c>
      <c r="X4" s="293">
        <v>126310</v>
      </c>
      <c r="Y4" s="293">
        <v>90125</v>
      </c>
      <c r="Z4" s="293">
        <v>105684</v>
      </c>
      <c r="AA4" s="293">
        <v>90869</v>
      </c>
      <c r="AB4" s="293">
        <v>48227</v>
      </c>
      <c r="AC4" s="293">
        <v>142237</v>
      </c>
      <c r="AD4" s="293">
        <v>47085</v>
      </c>
      <c r="AE4" s="293">
        <v>180769</v>
      </c>
      <c r="AF4" s="293">
        <v>43485</v>
      </c>
      <c r="AG4" s="293">
        <v>69382</v>
      </c>
      <c r="AH4" s="293">
        <v>88998</v>
      </c>
      <c r="AI4" s="293">
        <v>47701</v>
      </c>
      <c r="AJ4" s="293">
        <v>126160</v>
      </c>
      <c r="AK4" s="293">
        <v>142586</v>
      </c>
      <c r="AL4" s="293">
        <v>77814</v>
      </c>
      <c r="AM4" s="293">
        <v>72568</v>
      </c>
      <c r="AN4" s="293">
        <v>80509</v>
      </c>
      <c r="AO4" s="293">
        <v>177769</v>
      </c>
      <c r="AP4" s="293">
        <v>118574</v>
      </c>
      <c r="AQ4" s="293">
        <v>109653</v>
      </c>
      <c r="AR4" s="293">
        <v>87225</v>
      </c>
      <c r="AS4" s="293">
        <v>124048</v>
      </c>
      <c r="AT4" s="293">
        <v>96059</v>
      </c>
      <c r="AU4" s="293">
        <v>77773</v>
      </c>
      <c r="AV4" s="303">
        <v>206278</v>
      </c>
      <c r="AW4" s="303">
        <v>156354</v>
      </c>
      <c r="AX4" s="303">
        <v>176022</v>
      </c>
      <c r="AY4" s="303">
        <v>104285</v>
      </c>
      <c r="AZ4" s="303">
        <v>84340</v>
      </c>
    </row>
    <row r="5" spans="2:52" ht="24">
      <c r="B5" s="311" t="s">
        <v>661</v>
      </c>
      <c r="C5" s="313">
        <v>3586</v>
      </c>
      <c r="D5" s="313">
        <v>9950</v>
      </c>
      <c r="E5" s="313">
        <v>7644</v>
      </c>
      <c r="F5" s="313">
        <v>10518</v>
      </c>
      <c r="G5" s="313">
        <v>6822</v>
      </c>
      <c r="H5" s="313">
        <v>14793</v>
      </c>
      <c r="I5" s="313">
        <v>12953</v>
      </c>
      <c r="J5" s="313">
        <v>11584</v>
      </c>
      <c r="K5" s="313">
        <v>10697</v>
      </c>
      <c r="L5" s="313">
        <v>11246</v>
      </c>
      <c r="M5" s="313">
        <v>10097</v>
      </c>
      <c r="N5" s="313">
        <v>7240</v>
      </c>
      <c r="O5" s="313">
        <v>8904</v>
      </c>
      <c r="P5" s="313">
        <v>10884</v>
      </c>
      <c r="Q5" s="313">
        <v>12035</v>
      </c>
      <c r="R5" s="313">
        <v>5606</v>
      </c>
      <c r="S5" s="313">
        <v>11226</v>
      </c>
      <c r="T5" s="313">
        <v>11647</v>
      </c>
      <c r="U5" s="313">
        <v>14463</v>
      </c>
      <c r="V5" s="313">
        <v>9929</v>
      </c>
      <c r="W5" s="313">
        <v>16047</v>
      </c>
      <c r="X5" s="313">
        <v>14294</v>
      </c>
      <c r="Y5" s="313">
        <v>7914</v>
      </c>
      <c r="Z5" s="313">
        <v>7336</v>
      </c>
      <c r="AA5" s="313">
        <v>9643</v>
      </c>
      <c r="AB5" s="313">
        <v>5090</v>
      </c>
      <c r="AC5" s="313">
        <v>10871</v>
      </c>
      <c r="AD5" s="313">
        <v>5236</v>
      </c>
      <c r="AE5" s="313">
        <v>11762</v>
      </c>
      <c r="AF5" s="313">
        <v>5002</v>
      </c>
      <c r="AG5" s="313">
        <v>5578</v>
      </c>
      <c r="AH5" s="313">
        <v>8312</v>
      </c>
      <c r="AI5" s="313">
        <v>6228</v>
      </c>
      <c r="AJ5" s="313">
        <v>11554</v>
      </c>
      <c r="AK5" s="313">
        <v>11284</v>
      </c>
      <c r="AL5" s="313">
        <v>7848</v>
      </c>
      <c r="AM5" s="313">
        <v>6862</v>
      </c>
      <c r="AN5" s="313">
        <v>7089</v>
      </c>
      <c r="AO5" s="313">
        <v>10136</v>
      </c>
      <c r="AP5" s="313">
        <v>10497</v>
      </c>
      <c r="AQ5" s="313">
        <v>8963</v>
      </c>
      <c r="AR5" s="313">
        <v>8650</v>
      </c>
      <c r="AS5" s="313">
        <v>9202</v>
      </c>
      <c r="AT5" s="313">
        <v>7298</v>
      </c>
      <c r="AU5" s="313">
        <v>9011</v>
      </c>
      <c r="AV5" s="312">
        <v>13708</v>
      </c>
      <c r="AW5" s="312">
        <v>10696</v>
      </c>
      <c r="AX5" s="312">
        <v>9303</v>
      </c>
      <c r="AY5" s="312">
        <v>9647</v>
      </c>
      <c r="AZ5" s="312">
        <v>8421</v>
      </c>
    </row>
    <row r="6" spans="2:52" ht="24">
      <c r="B6" s="305" t="s">
        <v>662</v>
      </c>
      <c r="C6" s="290">
        <v>4026</v>
      </c>
      <c r="D6" s="290">
        <v>12733</v>
      </c>
      <c r="E6" s="290">
        <v>10402</v>
      </c>
      <c r="F6" s="290">
        <v>13788</v>
      </c>
      <c r="G6" s="290">
        <v>9467</v>
      </c>
      <c r="H6" s="290">
        <v>20890</v>
      </c>
      <c r="I6" s="290">
        <v>18574</v>
      </c>
      <c r="J6" s="290">
        <v>16099</v>
      </c>
      <c r="K6" s="290">
        <v>15935</v>
      </c>
      <c r="L6" s="290">
        <v>12729</v>
      </c>
      <c r="M6" s="290">
        <v>14262</v>
      </c>
      <c r="N6" s="290">
        <v>9742</v>
      </c>
      <c r="O6" s="290">
        <v>12495</v>
      </c>
      <c r="P6" s="290">
        <v>14852</v>
      </c>
      <c r="Q6" s="290">
        <v>16455</v>
      </c>
      <c r="R6" s="290">
        <v>7559</v>
      </c>
      <c r="S6" s="290">
        <v>16202</v>
      </c>
      <c r="T6" s="290">
        <v>15602</v>
      </c>
      <c r="U6" s="290">
        <v>20299</v>
      </c>
      <c r="V6" s="290">
        <v>12379</v>
      </c>
      <c r="W6" s="290">
        <v>23030</v>
      </c>
      <c r="X6" s="290">
        <v>19026</v>
      </c>
      <c r="Y6" s="290">
        <v>10634</v>
      </c>
      <c r="Z6" s="290">
        <v>9851</v>
      </c>
      <c r="AA6" s="290">
        <v>13986</v>
      </c>
      <c r="AB6" s="290">
        <v>6723</v>
      </c>
      <c r="AC6" s="290">
        <v>15934</v>
      </c>
      <c r="AD6" s="290">
        <v>6419</v>
      </c>
      <c r="AE6" s="290">
        <v>16364</v>
      </c>
      <c r="AF6" s="290">
        <v>6615</v>
      </c>
      <c r="AG6" s="290">
        <v>8199</v>
      </c>
      <c r="AH6" s="290">
        <v>11912</v>
      </c>
      <c r="AI6" s="290">
        <v>7684</v>
      </c>
      <c r="AJ6" s="290">
        <v>15931</v>
      </c>
      <c r="AK6" s="290">
        <v>14704</v>
      </c>
      <c r="AL6" s="290">
        <v>10111</v>
      </c>
      <c r="AM6" s="290">
        <v>8580</v>
      </c>
      <c r="AN6" s="290">
        <v>9621</v>
      </c>
      <c r="AO6" s="290">
        <v>13256</v>
      </c>
      <c r="AP6" s="290">
        <v>15438</v>
      </c>
      <c r="AQ6" s="290">
        <v>12762</v>
      </c>
      <c r="AR6" s="290">
        <v>10921</v>
      </c>
      <c r="AS6" s="290">
        <v>13307</v>
      </c>
      <c r="AT6" s="290">
        <v>10389</v>
      </c>
      <c r="AU6" s="290">
        <v>12060</v>
      </c>
      <c r="AV6" s="303">
        <v>19137</v>
      </c>
      <c r="AW6" s="303">
        <v>15045</v>
      </c>
      <c r="AX6" s="303">
        <v>11480</v>
      </c>
      <c r="AY6" s="303">
        <v>13451</v>
      </c>
      <c r="AZ6" s="303">
        <v>11857</v>
      </c>
    </row>
    <row r="7" spans="2:52" ht="24">
      <c r="B7" s="311" t="s">
        <v>663</v>
      </c>
      <c r="C7" s="313">
        <v>7612</v>
      </c>
      <c r="D7" s="313">
        <v>22683</v>
      </c>
      <c r="E7" s="313">
        <v>18046</v>
      </c>
      <c r="F7" s="313">
        <v>24306</v>
      </c>
      <c r="G7" s="313">
        <v>16289</v>
      </c>
      <c r="H7" s="313">
        <v>35683</v>
      </c>
      <c r="I7" s="313">
        <v>31527</v>
      </c>
      <c r="J7" s="313">
        <v>27683</v>
      </c>
      <c r="K7" s="313">
        <v>26632</v>
      </c>
      <c r="L7" s="313">
        <v>23975</v>
      </c>
      <c r="M7" s="313">
        <v>24359</v>
      </c>
      <c r="N7" s="313">
        <v>16982</v>
      </c>
      <c r="O7" s="313">
        <v>21399</v>
      </c>
      <c r="P7" s="313">
        <v>25736</v>
      </c>
      <c r="Q7" s="313">
        <v>28490</v>
      </c>
      <c r="R7" s="313">
        <v>13165</v>
      </c>
      <c r="S7" s="313">
        <v>27428</v>
      </c>
      <c r="T7" s="313">
        <v>27249</v>
      </c>
      <c r="U7" s="313">
        <v>34762</v>
      </c>
      <c r="V7" s="313">
        <v>22308</v>
      </c>
      <c r="W7" s="313">
        <v>39077</v>
      </c>
      <c r="X7" s="313">
        <v>33320</v>
      </c>
      <c r="Y7" s="313">
        <v>18548</v>
      </c>
      <c r="Z7" s="313">
        <v>17187</v>
      </c>
      <c r="AA7" s="313">
        <v>23629</v>
      </c>
      <c r="AB7" s="313">
        <v>11813</v>
      </c>
      <c r="AC7" s="313">
        <v>26805</v>
      </c>
      <c r="AD7" s="313">
        <v>11655</v>
      </c>
      <c r="AE7" s="313">
        <v>28126</v>
      </c>
      <c r="AF7" s="313">
        <v>11617</v>
      </c>
      <c r="AG7" s="313">
        <v>13777</v>
      </c>
      <c r="AH7" s="313">
        <v>20224</v>
      </c>
      <c r="AI7" s="313">
        <v>13912</v>
      </c>
      <c r="AJ7" s="313">
        <v>27485</v>
      </c>
      <c r="AK7" s="313">
        <v>25988</v>
      </c>
      <c r="AL7" s="313">
        <v>17959</v>
      </c>
      <c r="AM7" s="313">
        <v>15442</v>
      </c>
      <c r="AN7" s="313">
        <v>16710</v>
      </c>
      <c r="AO7" s="313">
        <v>23392</v>
      </c>
      <c r="AP7" s="313">
        <v>25935</v>
      </c>
      <c r="AQ7" s="313">
        <v>21725</v>
      </c>
      <c r="AR7" s="313">
        <v>19571</v>
      </c>
      <c r="AS7" s="313">
        <v>22509</v>
      </c>
      <c r="AT7" s="313">
        <v>17687</v>
      </c>
      <c r="AU7" s="313">
        <v>21071</v>
      </c>
      <c r="AV7" s="314">
        <v>32845</v>
      </c>
      <c r="AW7" s="314">
        <v>25741</v>
      </c>
      <c r="AX7" s="314">
        <v>20783</v>
      </c>
      <c r="AY7" s="314">
        <v>23098</v>
      </c>
      <c r="AZ7" s="314">
        <v>20278</v>
      </c>
    </row>
    <row r="8" spans="2:52" ht="24">
      <c r="B8" s="306" t="s">
        <v>659</v>
      </c>
      <c r="C8" s="291">
        <f>C7/C4*100</f>
        <v>33.886836130525758</v>
      </c>
      <c r="D8" s="304">
        <f>D7/D4*100</f>
        <v>22.40429062462961</v>
      </c>
      <c r="E8" s="291">
        <f t="shared" ref="E8:AZ8" si="0">E7/E4*100</f>
        <v>25.346573591583915</v>
      </c>
      <c r="F8" s="304">
        <f t="shared" si="0"/>
        <v>12.02707650895128</v>
      </c>
      <c r="G8" s="291">
        <f t="shared" si="0"/>
        <v>16.776353056285082</v>
      </c>
      <c r="H8" s="304">
        <f t="shared" si="0"/>
        <v>22.78535168098081</v>
      </c>
      <c r="I8" s="291">
        <f t="shared" si="0"/>
        <v>21.002877927891916</v>
      </c>
      <c r="J8" s="304">
        <f t="shared" si="0"/>
        <v>16.282106328041827</v>
      </c>
      <c r="K8" s="291">
        <f t="shared" si="0"/>
        <v>22.351657574485941</v>
      </c>
      <c r="L8" s="304">
        <f t="shared" si="0"/>
        <v>26.707437979703464</v>
      </c>
      <c r="M8" s="291">
        <f t="shared" si="0"/>
        <v>23.247979079777437</v>
      </c>
      <c r="N8" s="304">
        <f t="shared" si="0"/>
        <v>21.619901206905332</v>
      </c>
      <c r="O8" s="291">
        <f t="shared" si="0"/>
        <v>17.390774331968011</v>
      </c>
      <c r="P8" s="304">
        <f t="shared" si="0"/>
        <v>24.268027044102254</v>
      </c>
      <c r="Q8" s="291">
        <f t="shared" si="0"/>
        <v>26.44525303530984</v>
      </c>
      <c r="R8" s="304">
        <f t="shared" si="0"/>
        <v>19.901136775910025</v>
      </c>
      <c r="S8" s="291">
        <f t="shared" si="0"/>
        <v>18.772414925945192</v>
      </c>
      <c r="T8" s="304">
        <f t="shared" si="0"/>
        <v>14.66387549509213</v>
      </c>
      <c r="U8" s="291">
        <f t="shared" si="0"/>
        <v>18.392592592592592</v>
      </c>
      <c r="V8" s="304">
        <f t="shared" si="0"/>
        <v>25.671476903956364</v>
      </c>
      <c r="W8" s="291">
        <f t="shared" si="0"/>
        <v>20.19577137954737</v>
      </c>
      <c r="X8" s="304">
        <f t="shared" si="0"/>
        <v>26.379542395693136</v>
      </c>
      <c r="Y8" s="291">
        <f t="shared" si="0"/>
        <v>20.580305131761442</v>
      </c>
      <c r="Z8" s="304">
        <f t="shared" si="0"/>
        <v>16.262631997274895</v>
      </c>
      <c r="AA8" s="291">
        <f t="shared" si="0"/>
        <v>26.003367485060913</v>
      </c>
      <c r="AB8" s="304">
        <f t="shared" si="0"/>
        <v>24.49457772616999</v>
      </c>
      <c r="AC8" s="291">
        <f t="shared" si="0"/>
        <v>18.84530747976968</v>
      </c>
      <c r="AD8" s="304">
        <f t="shared" si="0"/>
        <v>24.753106084740363</v>
      </c>
      <c r="AE8" s="291">
        <f t="shared" si="0"/>
        <v>15.559083692447267</v>
      </c>
      <c r="AF8" s="304">
        <f t="shared" si="0"/>
        <v>26.71495918132689</v>
      </c>
      <c r="AG8" s="291">
        <f t="shared" si="0"/>
        <v>19.856735176270501</v>
      </c>
      <c r="AH8" s="304">
        <f t="shared" si="0"/>
        <v>22.724106159688979</v>
      </c>
      <c r="AI8" s="291">
        <f t="shared" si="0"/>
        <v>29.165007022913564</v>
      </c>
      <c r="AJ8" s="304">
        <f t="shared" si="0"/>
        <v>21.785827520608748</v>
      </c>
      <c r="AK8" s="291">
        <f t="shared" si="0"/>
        <v>18.226193314911701</v>
      </c>
      <c r="AL8" s="304">
        <f t="shared" si="0"/>
        <v>23.079394453440255</v>
      </c>
      <c r="AM8" s="291">
        <f t="shared" si="0"/>
        <v>21.279351780399075</v>
      </c>
      <c r="AN8" s="304">
        <f t="shared" si="0"/>
        <v>20.755443490789848</v>
      </c>
      <c r="AO8" s="291">
        <f t="shared" si="0"/>
        <v>13.158649708329348</v>
      </c>
      <c r="AP8" s="304">
        <f t="shared" si="0"/>
        <v>21.872417224686693</v>
      </c>
      <c r="AQ8" s="291">
        <f t="shared" si="0"/>
        <v>19.812499430020157</v>
      </c>
      <c r="AR8" s="304">
        <f t="shared" si="0"/>
        <v>22.437374605904271</v>
      </c>
      <c r="AS8" s="291">
        <f t="shared" si="0"/>
        <v>18.145395330839676</v>
      </c>
      <c r="AT8" s="304">
        <f t="shared" si="0"/>
        <v>18.412642230295965</v>
      </c>
      <c r="AU8" s="291">
        <f t="shared" si="0"/>
        <v>27.092949995499723</v>
      </c>
      <c r="AV8" s="304">
        <f t="shared" si="0"/>
        <v>15.922686859480894</v>
      </c>
      <c r="AW8" s="291">
        <f t="shared" si="0"/>
        <v>16.463282039474525</v>
      </c>
      <c r="AX8" s="304">
        <f t="shared" si="0"/>
        <v>11.807046846416926</v>
      </c>
      <c r="AY8" s="291">
        <f t="shared" si="0"/>
        <v>22.148918828211155</v>
      </c>
      <c r="AZ8" s="292">
        <f t="shared" si="0"/>
        <v>24.043158643585489</v>
      </c>
    </row>
    <row r="9" spans="2:52" ht="72">
      <c r="B9" s="315" t="s">
        <v>635</v>
      </c>
      <c r="C9" s="316">
        <v>159</v>
      </c>
      <c r="D9" s="316">
        <v>42</v>
      </c>
      <c r="E9" s="316">
        <v>765</v>
      </c>
      <c r="F9" s="316">
        <v>31</v>
      </c>
      <c r="G9" s="316">
        <v>348</v>
      </c>
      <c r="H9" s="316">
        <v>456</v>
      </c>
      <c r="I9" s="316">
        <v>199</v>
      </c>
      <c r="J9" s="316">
        <v>583</v>
      </c>
      <c r="K9" s="316">
        <v>0</v>
      </c>
      <c r="L9" s="316">
        <v>917</v>
      </c>
      <c r="M9" s="316">
        <v>262</v>
      </c>
      <c r="N9" s="316">
        <v>206</v>
      </c>
      <c r="O9" s="316">
        <v>511</v>
      </c>
      <c r="P9" s="316">
        <v>1372</v>
      </c>
      <c r="Q9" s="316">
        <v>424</v>
      </c>
      <c r="R9" s="316">
        <v>132</v>
      </c>
      <c r="S9" s="316">
        <v>66</v>
      </c>
      <c r="T9" s="316">
        <v>15</v>
      </c>
      <c r="U9" s="316">
        <v>67</v>
      </c>
      <c r="V9" s="316">
        <v>89</v>
      </c>
      <c r="W9" s="316">
        <v>885</v>
      </c>
      <c r="X9" s="316">
        <v>466</v>
      </c>
      <c r="Y9" s="316">
        <v>318</v>
      </c>
      <c r="Z9" s="316">
        <v>7</v>
      </c>
      <c r="AA9" s="316">
        <v>587</v>
      </c>
      <c r="AB9" s="316">
        <v>227</v>
      </c>
      <c r="AC9" s="316">
        <v>48</v>
      </c>
      <c r="AD9" s="316">
        <v>176</v>
      </c>
      <c r="AE9" s="316">
        <v>1100</v>
      </c>
      <c r="AF9" s="316">
        <v>32</v>
      </c>
      <c r="AG9" s="316">
        <v>48</v>
      </c>
      <c r="AH9" s="316">
        <v>474</v>
      </c>
      <c r="AI9" s="316">
        <v>315</v>
      </c>
      <c r="AJ9" s="316">
        <v>41</v>
      </c>
      <c r="AK9" s="316">
        <v>508</v>
      </c>
      <c r="AL9" s="316">
        <v>104</v>
      </c>
      <c r="AM9" s="316">
        <v>249</v>
      </c>
      <c r="AN9" s="316">
        <v>412</v>
      </c>
      <c r="AO9" s="316">
        <v>0</v>
      </c>
      <c r="AP9" s="316">
        <v>523</v>
      </c>
      <c r="AQ9" s="316">
        <v>450</v>
      </c>
      <c r="AR9" s="316">
        <v>299</v>
      </c>
      <c r="AS9" s="316">
        <v>1279</v>
      </c>
      <c r="AT9" s="316">
        <v>30</v>
      </c>
      <c r="AU9" s="316">
        <v>44</v>
      </c>
      <c r="AV9" s="317">
        <v>709</v>
      </c>
      <c r="AW9" s="317">
        <v>580</v>
      </c>
      <c r="AX9" s="317">
        <v>424</v>
      </c>
      <c r="AY9" s="317">
        <v>975</v>
      </c>
      <c r="AZ9" s="317">
        <v>26</v>
      </c>
    </row>
    <row r="10" spans="2:52" ht="48">
      <c r="B10" s="307" t="s">
        <v>79</v>
      </c>
      <c r="C10" s="294">
        <v>31</v>
      </c>
      <c r="D10" s="294">
        <v>145</v>
      </c>
      <c r="E10" s="294">
        <v>89</v>
      </c>
      <c r="F10" s="294">
        <v>63</v>
      </c>
      <c r="G10" s="294">
        <v>151</v>
      </c>
      <c r="H10" s="294">
        <v>191</v>
      </c>
      <c r="I10" s="294">
        <v>310</v>
      </c>
      <c r="J10" s="294">
        <v>0</v>
      </c>
      <c r="K10" s="294">
        <v>213</v>
      </c>
      <c r="L10" s="294">
        <v>128</v>
      </c>
      <c r="M10" s="294">
        <v>42</v>
      </c>
      <c r="N10" s="294">
        <v>443</v>
      </c>
      <c r="O10" s="294">
        <v>96</v>
      </c>
      <c r="P10" s="294">
        <v>254</v>
      </c>
      <c r="Q10" s="294">
        <v>37</v>
      </c>
      <c r="R10" s="294">
        <v>8</v>
      </c>
      <c r="S10" s="294">
        <v>65</v>
      </c>
      <c r="T10" s="294">
        <v>106</v>
      </c>
      <c r="U10" s="294">
        <v>128</v>
      </c>
      <c r="V10" s="294">
        <v>97</v>
      </c>
      <c r="W10" s="294">
        <v>34</v>
      </c>
      <c r="X10" s="294">
        <v>296</v>
      </c>
      <c r="Y10" s="294">
        <v>50</v>
      </c>
      <c r="Z10" s="294">
        <v>622</v>
      </c>
      <c r="AA10" s="294">
        <v>204</v>
      </c>
      <c r="AB10" s="294">
        <v>13</v>
      </c>
      <c r="AC10" s="294">
        <v>42</v>
      </c>
      <c r="AD10" s="294">
        <v>113</v>
      </c>
      <c r="AE10" s="294">
        <v>519</v>
      </c>
      <c r="AF10" s="294">
        <v>29</v>
      </c>
      <c r="AG10" s="294">
        <v>69</v>
      </c>
      <c r="AH10" s="294">
        <v>45</v>
      </c>
      <c r="AI10" s="294">
        <v>55</v>
      </c>
      <c r="AJ10" s="294">
        <v>519</v>
      </c>
      <c r="AK10" s="294">
        <v>21</v>
      </c>
      <c r="AL10" s="294">
        <v>82</v>
      </c>
      <c r="AM10" s="294">
        <v>0</v>
      </c>
      <c r="AN10" s="294">
        <v>35</v>
      </c>
      <c r="AO10" s="294">
        <v>0</v>
      </c>
      <c r="AP10" s="294">
        <v>30</v>
      </c>
      <c r="AQ10" s="294">
        <v>23</v>
      </c>
      <c r="AR10" s="294">
        <v>48</v>
      </c>
      <c r="AS10" s="294">
        <v>29</v>
      </c>
      <c r="AT10" s="294">
        <v>157</v>
      </c>
      <c r="AU10" s="294">
        <v>22</v>
      </c>
      <c r="AV10" s="294">
        <v>359</v>
      </c>
      <c r="AW10" s="294">
        <v>53</v>
      </c>
      <c r="AX10" s="294">
        <v>65</v>
      </c>
      <c r="AY10" s="294">
        <v>25</v>
      </c>
      <c r="AZ10" s="294">
        <v>74</v>
      </c>
    </row>
    <row r="11" spans="2:52" ht="72">
      <c r="B11" s="315" t="s">
        <v>636</v>
      </c>
      <c r="C11" s="316">
        <v>5355</v>
      </c>
      <c r="D11" s="316">
        <v>14458</v>
      </c>
      <c r="E11" s="316">
        <v>13349</v>
      </c>
      <c r="F11" s="316">
        <v>20050</v>
      </c>
      <c r="G11" s="316">
        <v>12248</v>
      </c>
      <c r="H11" s="316">
        <v>22296</v>
      </c>
      <c r="I11" s="316">
        <v>26069</v>
      </c>
      <c r="J11" s="316">
        <v>19488</v>
      </c>
      <c r="K11" s="316">
        <v>20649</v>
      </c>
      <c r="L11" s="316">
        <v>11521</v>
      </c>
      <c r="M11" s="316">
        <v>17843</v>
      </c>
      <c r="N11" s="316">
        <v>12207</v>
      </c>
      <c r="O11" s="316">
        <v>17740</v>
      </c>
      <c r="P11" s="316">
        <v>19877</v>
      </c>
      <c r="Q11" s="316">
        <v>19139</v>
      </c>
      <c r="R11" s="316">
        <v>12293</v>
      </c>
      <c r="S11" s="316">
        <v>20974</v>
      </c>
      <c r="T11" s="316">
        <v>22298</v>
      </c>
      <c r="U11" s="316">
        <v>23801</v>
      </c>
      <c r="V11" s="316">
        <v>16771</v>
      </c>
      <c r="W11" s="316">
        <v>30952</v>
      </c>
      <c r="X11" s="316">
        <v>20254</v>
      </c>
      <c r="Y11" s="316">
        <v>13741</v>
      </c>
      <c r="Z11" s="316">
        <v>16072</v>
      </c>
      <c r="AA11" s="316">
        <v>17061</v>
      </c>
      <c r="AB11" s="316">
        <v>8536</v>
      </c>
      <c r="AC11" s="316">
        <v>20609</v>
      </c>
      <c r="AD11" s="316">
        <v>7220</v>
      </c>
      <c r="AE11" s="316">
        <v>22279</v>
      </c>
      <c r="AF11" s="316">
        <v>9119</v>
      </c>
      <c r="AG11" s="316">
        <v>8911</v>
      </c>
      <c r="AH11" s="316">
        <v>15719</v>
      </c>
      <c r="AI11" s="316">
        <v>10526</v>
      </c>
      <c r="AJ11" s="316">
        <v>21529</v>
      </c>
      <c r="AK11" s="316">
        <v>16965</v>
      </c>
      <c r="AL11" s="316">
        <v>13777</v>
      </c>
      <c r="AM11" s="316">
        <v>9517</v>
      </c>
      <c r="AN11" s="316">
        <v>13294</v>
      </c>
      <c r="AO11" s="316">
        <v>19546</v>
      </c>
      <c r="AP11" s="316">
        <v>18993</v>
      </c>
      <c r="AQ11" s="316">
        <v>16191</v>
      </c>
      <c r="AR11" s="316">
        <v>10887</v>
      </c>
      <c r="AS11" s="316">
        <v>17869</v>
      </c>
      <c r="AT11" s="316">
        <v>13821</v>
      </c>
      <c r="AU11" s="316">
        <v>15268</v>
      </c>
      <c r="AV11" s="316">
        <v>22834</v>
      </c>
      <c r="AW11" s="316">
        <v>21221</v>
      </c>
      <c r="AX11" s="316">
        <v>16593</v>
      </c>
      <c r="AY11" s="316">
        <v>15692</v>
      </c>
      <c r="AZ11" s="316">
        <v>11832</v>
      </c>
    </row>
    <row r="12" spans="2:52" ht="72">
      <c r="B12" s="307" t="s">
        <v>637</v>
      </c>
      <c r="C12" s="294">
        <v>175</v>
      </c>
      <c r="D12" s="294">
        <v>238</v>
      </c>
      <c r="E12" s="294">
        <v>672</v>
      </c>
      <c r="F12" s="294">
        <v>946</v>
      </c>
      <c r="G12" s="294">
        <v>622</v>
      </c>
      <c r="H12" s="294">
        <v>934</v>
      </c>
      <c r="I12" s="294">
        <v>1308</v>
      </c>
      <c r="J12" s="294">
        <v>1054</v>
      </c>
      <c r="K12" s="294">
        <v>1001</v>
      </c>
      <c r="L12" s="294">
        <v>681</v>
      </c>
      <c r="M12" s="294">
        <v>932</v>
      </c>
      <c r="N12" s="294">
        <v>531</v>
      </c>
      <c r="O12" s="294">
        <v>810</v>
      </c>
      <c r="P12" s="294">
        <v>1249</v>
      </c>
      <c r="Q12" s="294">
        <v>1281</v>
      </c>
      <c r="R12" s="294">
        <v>44</v>
      </c>
      <c r="S12" s="294">
        <v>760</v>
      </c>
      <c r="T12" s="294">
        <v>1631</v>
      </c>
      <c r="U12" s="294">
        <v>1238</v>
      </c>
      <c r="V12" s="294">
        <v>792</v>
      </c>
      <c r="W12" s="294">
        <v>1249</v>
      </c>
      <c r="X12" s="294">
        <v>1155</v>
      </c>
      <c r="Y12" s="294">
        <v>531</v>
      </c>
      <c r="Z12" s="294">
        <v>896</v>
      </c>
      <c r="AA12" s="294">
        <v>864</v>
      </c>
      <c r="AB12" s="294">
        <v>335</v>
      </c>
      <c r="AC12" s="294">
        <v>959</v>
      </c>
      <c r="AD12" s="294">
        <v>343</v>
      </c>
      <c r="AE12" s="294">
        <v>1024</v>
      </c>
      <c r="AF12" s="294">
        <v>362</v>
      </c>
      <c r="AG12" s="294">
        <v>298</v>
      </c>
      <c r="AH12" s="294">
        <v>601</v>
      </c>
      <c r="AI12" s="294">
        <v>471</v>
      </c>
      <c r="AJ12" s="294">
        <v>1601</v>
      </c>
      <c r="AK12" s="294">
        <v>878</v>
      </c>
      <c r="AL12" s="294">
        <v>554</v>
      </c>
      <c r="AM12" s="294">
        <v>339</v>
      </c>
      <c r="AN12" s="294">
        <v>683</v>
      </c>
      <c r="AO12" s="294">
        <v>910</v>
      </c>
      <c r="AP12" s="294">
        <v>734</v>
      </c>
      <c r="AQ12" s="294">
        <v>553</v>
      </c>
      <c r="AR12" s="294">
        <v>332</v>
      </c>
      <c r="AS12" s="294">
        <v>722</v>
      </c>
      <c r="AT12" s="294">
        <v>526</v>
      </c>
      <c r="AU12" s="294">
        <v>645</v>
      </c>
      <c r="AV12" s="294">
        <v>1383</v>
      </c>
      <c r="AW12" s="294">
        <v>1846</v>
      </c>
      <c r="AX12" s="294">
        <v>1146</v>
      </c>
      <c r="AY12" s="294">
        <v>672</v>
      </c>
      <c r="AZ12" s="294">
        <v>437</v>
      </c>
    </row>
    <row r="13" spans="2:52" ht="72">
      <c r="B13" s="315" t="s">
        <v>638</v>
      </c>
      <c r="C13" s="316">
        <v>5</v>
      </c>
      <c r="D13" s="316">
        <v>0</v>
      </c>
      <c r="E13" s="316">
        <v>0</v>
      </c>
      <c r="F13" s="316">
        <v>0</v>
      </c>
      <c r="G13" s="316">
        <v>0</v>
      </c>
      <c r="H13" s="316">
        <v>0</v>
      </c>
      <c r="I13" s="316">
        <v>0</v>
      </c>
      <c r="J13" s="316">
        <v>0</v>
      </c>
      <c r="K13" s="316">
        <v>0</v>
      </c>
      <c r="L13" s="316">
        <v>0</v>
      </c>
      <c r="M13" s="316">
        <v>271</v>
      </c>
      <c r="N13" s="316">
        <v>0</v>
      </c>
      <c r="O13" s="316">
        <v>0</v>
      </c>
      <c r="P13" s="316">
        <v>0</v>
      </c>
      <c r="Q13" s="316">
        <v>0</v>
      </c>
      <c r="R13" s="316">
        <v>0</v>
      </c>
      <c r="S13" s="316">
        <v>334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0</v>
      </c>
      <c r="AM13" s="316">
        <v>0</v>
      </c>
      <c r="AN13" s="316">
        <v>0</v>
      </c>
      <c r="AO13" s="316">
        <v>0</v>
      </c>
      <c r="AP13" s="316">
        <v>0</v>
      </c>
      <c r="AQ13" s="316">
        <v>0</v>
      </c>
      <c r="AR13" s="316">
        <v>0</v>
      </c>
      <c r="AS13" s="316">
        <v>0</v>
      </c>
      <c r="AT13" s="316">
        <v>0</v>
      </c>
      <c r="AU13" s="316">
        <v>77</v>
      </c>
      <c r="AV13" s="316">
        <v>0</v>
      </c>
      <c r="AW13" s="316">
        <v>5733</v>
      </c>
      <c r="AX13" s="316">
        <v>0</v>
      </c>
      <c r="AY13" s="316">
        <v>0</v>
      </c>
      <c r="AZ13" s="316">
        <v>0</v>
      </c>
    </row>
    <row r="14" spans="2:52" ht="51.75" customHeight="1">
      <c r="B14" s="307" t="s">
        <v>639</v>
      </c>
      <c r="C14" s="294">
        <v>0</v>
      </c>
      <c r="D14" s="294">
        <v>0</v>
      </c>
      <c r="E14" s="294">
        <v>0</v>
      </c>
      <c r="F14" s="294">
        <v>0</v>
      </c>
      <c r="G14" s="294">
        <v>0</v>
      </c>
      <c r="H14" s="294">
        <v>0</v>
      </c>
      <c r="I14" s="294">
        <v>0</v>
      </c>
      <c r="J14" s="294">
        <v>0</v>
      </c>
      <c r="K14" s="294">
        <v>0</v>
      </c>
      <c r="L14" s="294">
        <v>0</v>
      </c>
      <c r="M14" s="294">
        <v>0</v>
      </c>
      <c r="N14" s="294">
        <v>0</v>
      </c>
      <c r="O14" s="294">
        <v>0</v>
      </c>
      <c r="P14" s="294">
        <v>0</v>
      </c>
      <c r="Q14" s="294">
        <v>0</v>
      </c>
      <c r="R14" s="294">
        <v>0</v>
      </c>
      <c r="S14" s="294">
        <v>469</v>
      </c>
      <c r="T14" s="294">
        <v>0</v>
      </c>
      <c r="U14" s="294">
        <v>185</v>
      </c>
      <c r="V14" s="294">
        <v>0</v>
      </c>
      <c r="W14" s="294">
        <v>552</v>
      </c>
      <c r="X14" s="294">
        <v>0</v>
      </c>
      <c r="Y14" s="294">
        <v>0</v>
      </c>
      <c r="Z14" s="294">
        <v>370</v>
      </c>
      <c r="AA14" s="294">
        <v>0</v>
      </c>
      <c r="AB14" s="294">
        <v>0</v>
      </c>
      <c r="AC14" s="294">
        <v>0</v>
      </c>
      <c r="AD14" s="294">
        <v>0</v>
      </c>
      <c r="AE14" s="294">
        <v>0</v>
      </c>
      <c r="AF14" s="294">
        <v>0</v>
      </c>
      <c r="AG14" s="294">
        <v>0</v>
      </c>
      <c r="AH14" s="294">
        <v>0</v>
      </c>
      <c r="AI14" s="294">
        <v>0</v>
      </c>
      <c r="AJ14" s="294">
        <v>0</v>
      </c>
      <c r="AK14" s="294">
        <v>0</v>
      </c>
      <c r="AL14" s="294">
        <v>0</v>
      </c>
      <c r="AM14" s="294">
        <v>0</v>
      </c>
      <c r="AN14" s="294">
        <v>0</v>
      </c>
      <c r="AO14" s="294">
        <v>0</v>
      </c>
      <c r="AP14" s="294">
        <v>76</v>
      </c>
      <c r="AQ14" s="294">
        <v>0</v>
      </c>
      <c r="AR14" s="294">
        <v>0</v>
      </c>
      <c r="AS14" s="294">
        <v>0</v>
      </c>
      <c r="AT14" s="294">
        <v>0</v>
      </c>
      <c r="AU14" s="294">
        <v>0</v>
      </c>
      <c r="AV14" s="294">
        <v>0</v>
      </c>
      <c r="AW14" s="294">
        <v>0</v>
      </c>
      <c r="AX14" s="294">
        <v>0</v>
      </c>
      <c r="AY14" s="294">
        <v>0</v>
      </c>
      <c r="AZ14" s="294">
        <v>0</v>
      </c>
    </row>
    <row r="15" spans="2:52" ht="48">
      <c r="B15" s="315" t="s">
        <v>640</v>
      </c>
      <c r="C15" s="316">
        <v>1</v>
      </c>
      <c r="D15" s="316">
        <v>13</v>
      </c>
      <c r="E15" s="316">
        <v>4</v>
      </c>
      <c r="F15" s="316">
        <v>4</v>
      </c>
      <c r="G15" s="316">
        <v>2</v>
      </c>
      <c r="H15" s="316">
        <v>12</v>
      </c>
      <c r="I15" s="316">
        <v>4</v>
      </c>
      <c r="J15" s="316">
        <v>30</v>
      </c>
      <c r="K15" s="316">
        <v>1</v>
      </c>
      <c r="L15" s="316">
        <v>13</v>
      </c>
      <c r="M15" s="316">
        <v>1</v>
      </c>
      <c r="N15" s="316">
        <v>3</v>
      </c>
      <c r="O15" s="316">
        <v>7</v>
      </c>
      <c r="P15" s="316">
        <v>11</v>
      </c>
      <c r="Q15" s="316">
        <v>7</v>
      </c>
      <c r="R15" s="316">
        <v>1</v>
      </c>
      <c r="S15" s="316">
        <v>5</v>
      </c>
      <c r="T15" s="316">
        <v>19</v>
      </c>
      <c r="U15" s="316">
        <v>14</v>
      </c>
      <c r="V15" s="316">
        <v>6</v>
      </c>
      <c r="W15" s="316">
        <v>11</v>
      </c>
      <c r="X15" s="316">
        <v>9</v>
      </c>
      <c r="Y15" s="316">
        <v>6</v>
      </c>
      <c r="Z15" s="316">
        <v>3</v>
      </c>
      <c r="AA15" s="316">
        <v>8</v>
      </c>
      <c r="AB15" s="316">
        <v>1</v>
      </c>
      <c r="AC15" s="316">
        <v>1</v>
      </c>
      <c r="AD15" s="316">
        <v>2</v>
      </c>
      <c r="AE15" s="316">
        <v>9</v>
      </c>
      <c r="AF15" s="316">
        <v>2</v>
      </c>
      <c r="AG15" s="316">
        <v>2</v>
      </c>
      <c r="AH15" s="316">
        <v>3</v>
      </c>
      <c r="AI15" s="316">
        <v>6</v>
      </c>
      <c r="AJ15" s="316">
        <v>15</v>
      </c>
      <c r="AK15" s="316">
        <v>6</v>
      </c>
      <c r="AL15" s="316">
        <v>4</v>
      </c>
      <c r="AM15" s="316">
        <v>1</v>
      </c>
      <c r="AN15" s="316">
        <v>5</v>
      </c>
      <c r="AO15" s="316">
        <v>11</v>
      </c>
      <c r="AP15" s="316">
        <v>1</v>
      </c>
      <c r="AQ15" s="316">
        <v>5</v>
      </c>
      <c r="AR15" s="316">
        <v>4</v>
      </c>
      <c r="AS15" s="316">
        <v>5</v>
      </c>
      <c r="AT15" s="316">
        <v>15</v>
      </c>
      <c r="AU15" s="316">
        <v>6</v>
      </c>
      <c r="AV15" s="316">
        <v>11</v>
      </c>
      <c r="AW15" s="316">
        <v>13</v>
      </c>
      <c r="AX15" s="316">
        <v>5</v>
      </c>
      <c r="AY15" s="316">
        <v>12</v>
      </c>
      <c r="AZ15" s="316">
        <v>3</v>
      </c>
    </row>
    <row r="16" spans="2:52" ht="48">
      <c r="B16" s="307" t="s">
        <v>641</v>
      </c>
      <c r="C16" s="294">
        <v>40</v>
      </c>
      <c r="D16" s="294">
        <v>1234</v>
      </c>
      <c r="E16" s="294">
        <v>444</v>
      </c>
      <c r="F16" s="294">
        <v>146</v>
      </c>
      <c r="G16" s="294">
        <v>420</v>
      </c>
      <c r="H16" s="294">
        <v>718</v>
      </c>
      <c r="I16" s="294">
        <v>342</v>
      </c>
      <c r="J16" s="294">
        <v>2921</v>
      </c>
      <c r="K16" s="294">
        <v>40</v>
      </c>
      <c r="L16" s="294">
        <v>490</v>
      </c>
      <c r="M16" s="294">
        <v>60</v>
      </c>
      <c r="N16" s="294">
        <v>90</v>
      </c>
      <c r="O16" s="294">
        <v>723</v>
      </c>
      <c r="P16" s="294">
        <v>2223</v>
      </c>
      <c r="Q16" s="294">
        <v>963</v>
      </c>
      <c r="R16" s="294">
        <v>500</v>
      </c>
      <c r="S16" s="294">
        <v>262</v>
      </c>
      <c r="T16" s="294">
        <v>1102</v>
      </c>
      <c r="U16" s="294">
        <v>2011</v>
      </c>
      <c r="V16" s="294">
        <v>705</v>
      </c>
      <c r="W16" s="294">
        <v>666</v>
      </c>
      <c r="X16" s="294">
        <v>417</v>
      </c>
      <c r="Y16" s="294">
        <v>761</v>
      </c>
      <c r="Z16" s="294">
        <v>110</v>
      </c>
      <c r="AA16" s="294">
        <v>320</v>
      </c>
      <c r="AB16" s="294">
        <v>250</v>
      </c>
      <c r="AC16" s="294">
        <v>231</v>
      </c>
      <c r="AD16" s="294">
        <v>206</v>
      </c>
      <c r="AE16" s="294">
        <v>1925</v>
      </c>
      <c r="AF16" s="294">
        <v>146</v>
      </c>
      <c r="AG16" s="294">
        <v>20</v>
      </c>
      <c r="AH16" s="294">
        <v>246</v>
      </c>
      <c r="AI16" s="294">
        <v>213</v>
      </c>
      <c r="AJ16" s="294">
        <v>734</v>
      </c>
      <c r="AK16" s="294">
        <v>983</v>
      </c>
      <c r="AL16" s="294">
        <v>609</v>
      </c>
      <c r="AM16" s="294">
        <v>75</v>
      </c>
      <c r="AN16" s="294">
        <v>670</v>
      </c>
      <c r="AO16" s="294">
        <v>904</v>
      </c>
      <c r="AP16" s="294">
        <v>56</v>
      </c>
      <c r="AQ16" s="294">
        <v>705</v>
      </c>
      <c r="AR16" s="294">
        <v>270</v>
      </c>
      <c r="AS16" s="294">
        <v>490</v>
      </c>
      <c r="AT16" s="294">
        <v>1013</v>
      </c>
      <c r="AU16" s="294">
        <v>431</v>
      </c>
      <c r="AV16" s="294">
        <v>1116</v>
      </c>
      <c r="AW16" s="294">
        <v>1104</v>
      </c>
      <c r="AX16" s="294">
        <v>1160</v>
      </c>
      <c r="AY16" s="294">
        <v>1336</v>
      </c>
      <c r="AZ16" s="294">
        <v>416</v>
      </c>
    </row>
  </sheetData>
  <sheetProtection algorithmName="SHA-512" hashValue="djoAxnzIXPOqW+cYuNeF0EWrg4b8j9TdJpFMwDHCM004AG+6h7BaFKDlN508QnxX58lGK0MVuoMlKNMj3Fb2Sw==" saltValue="yluSZOHXTtKQXFKEyQKJc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CC08C-A3C5-4A41-8351-31989AB38844}">
  <dimension ref="A1:BG71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13" sqref="M13"/>
    </sheetView>
  </sheetViews>
  <sheetFormatPr defaultColWidth="13" defaultRowHeight="21.75"/>
  <cols>
    <col min="1" max="1" width="8.5703125" style="40" customWidth="1"/>
    <col min="2" max="2" width="21.140625" style="41" bestFit="1" customWidth="1"/>
    <col min="3" max="3" width="9" style="41" bestFit="1" customWidth="1"/>
    <col min="4" max="5" width="9.42578125" style="41" bestFit="1" customWidth="1"/>
    <col min="6" max="6" width="7.85546875" style="41" bestFit="1" customWidth="1"/>
    <col min="7" max="8" width="7.5703125" style="41" bestFit="1" customWidth="1"/>
    <col min="9" max="10" width="6.85546875" style="41" customWidth="1"/>
    <col min="11" max="11" width="7" style="41" bestFit="1" customWidth="1"/>
    <col min="12" max="13" width="6.85546875" style="41" customWidth="1"/>
    <col min="14" max="14" width="7.140625" style="41" bestFit="1" customWidth="1"/>
    <col min="15" max="15" width="7" style="41" bestFit="1" customWidth="1"/>
    <col min="16" max="16" width="6.85546875" style="41" customWidth="1"/>
    <col min="17" max="17" width="7" style="41" bestFit="1" customWidth="1"/>
    <col min="18" max="19" width="6.85546875" style="41" customWidth="1"/>
    <col min="20" max="20" width="7" style="41" bestFit="1" customWidth="1"/>
    <col min="21" max="21" width="7.5703125" style="41" bestFit="1" customWidth="1"/>
    <col min="22" max="22" width="8.28515625" style="41" customWidth="1"/>
    <col min="23" max="23" width="9.140625" style="41" bestFit="1" customWidth="1"/>
    <col min="24" max="24" width="7.5703125" style="40" bestFit="1" customWidth="1"/>
    <col min="25" max="25" width="7.85546875" style="40" bestFit="1" customWidth="1"/>
    <col min="26" max="26" width="7.5703125" style="40" bestFit="1" customWidth="1"/>
    <col min="27" max="28" width="8" style="41" bestFit="1" customWidth="1"/>
    <col min="29" max="29" width="7.5703125" style="41" bestFit="1" customWidth="1"/>
    <col min="30" max="30" width="6.85546875" style="41" customWidth="1"/>
    <col min="31" max="31" width="7.85546875" style="41" bestFit="1" customWidth="1"/>
    <col min="32" max="32" width="8" style="41" bestFit="1" customWidth="1"/>
    <col min="33" max="33" width="6.85546875" style="41" customWidth="1"/>
    <col min="34" max="34" width="7.140625" style="41" bestFit="1" customWidth="1"/>
    <col min="35" max="35" width="7.5703125" style="41" bestFit="1" customWidth="1"/>
    <col min="36" max="36" width="6.85546875" style="41" customWidth="1"/>
    <col min="37" max="40" width="7" style="41" bestFit="1" customWidth="1"/>
    <col min="41" max="41" width="6.85546875" style="41" customWidth="1"/>
    <col min="42" max="42" width="6" style="41" bestFit="1" customWidth="1"/>
    <col min="43" max="43" width="6.85546875" style="41" customWidth="1"/>
    <col min="44" max="44" width="7" style="41" bestFit="1" customWidth="1"/>
    <col min="45" max="45" width="6" style="41" bestFit="1" customWidth="1"/>
    <col min="46" max="46" width="6.5703125" style="41" bestFit="1" customWidth="1"/>
    <col min="47" max="47" width="6" style="41" bestFit="1" customWidth="1"/>
    <col min="48" max="48" width="6.140625" style="41" bestFit="1" customWidth="1"/>
    <col min="49" max="49" width="6" style="41" bestFit="1" customWidth="1"/>
    <col min="50" max="50" width="7.42578125" style="41" bestFit="1" customWidth="1"/>
    <col min="51" max="59" width="9" style="41" customWidth="1"/>
    <col min="60" max="16384" width="13" style="41"/>
  </cols>
  <sheetData>
    <row r="1" spans="1:59" s="2" customFormat="1" ht="22.5" thickBot="1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</row>
    <row r="2" spans="1:59" s="1" customFormat="1" ht="22.5" thickBot="1">
      <c r="B2" s="48" t="s">
        <v>85</v>
      </c>
      <c r="C2" s="250" t="s">
        <v>0</v>
      </c>
      <c r="D2" s="251"/>
      <c r="E2" s="252"/>
      <c r="F2" s="253" t="s">
        <v>1</v>
      </c>
      <c r="G2" s="254"/>
      <c r="H2" s="255"/>
      <c r="I2" s="43" t="s">
        <v>2</v>
      </c>
      <c r="J2" s="3">
        <v>56</v>
      </c>
      <c r="K2" s="44" t="s">
        <v>3</v>
      </c>
      <c r="L2" s="43" t="s">
        <v>2</v>
      </c>
      <c r="M2" s="3">
        <v>57</v>
      </c>
      <c r="N2" s="44" t="s">
        <v>3</v>
      </c>
      <c r="O2" s="43" t="s">
        <v>2</v>
      </c>
      <c r="P2" s="3">
        <v>58</v>
      </c>
      <c r="Q2" s="44" t="s">
        <v>3</v>
      </c>
      <c r="R2" s="43" t="s">
        <v>2</v>
      </c>
      <c r="S2" s="3">
        <v>59</v>
      </c>
      <c r="T2" s="44" t="s">
        <v>3</v>
      </c>
      <c r="U2" s="253" t="s">
        <v>4</v>
      </c>
      <c r="V2" s="254"/>
      <c r="W2" s="255"/>
      <c r="X2" s="43" t="s">
        <v>2</v>
      </c>
      <c r="Y2" s="3" t="s">
        <v>5</v>
      </c>
      <c r="Z2" s="44" t="s">
        <v>3</v>
      </c>
      <c r="AA2" s="43" t="s">
        <v>2</v>
      </c>
      <c r="AB2" s="3" t="s">
        <v>6</v>
      </c>
      <c r="AC2" s="44" t="s">
        <v>3</v>
      </c>
      <c r="AD2" s="43" t="s">
        <v>2</v>
      </c>
      <c r="AE2" s="3" t="s">
        <v>7</v>
      </c>
      <c r="AF2" s="44" t="s">
        <v>3</v>
      </c>
      <c r="AG2" s="43" t="s">
        <v>2</v>
      </c>
      <c r="AH2" s="3" t="s">
        <v>8</v>
      </c>
      <c r="AI2" s="44" t="s">
        <v>3</v>
      </c>
      <c r="AJ2" s="43" t="s">
        <v>2</v>
      </c>
      <c r="AK2" s="3" t="s">
        <v>9</v>
      </c>
      <c r="AL2" s="44" t="s">
        <v>3</v>
      </c>
      <c r="AM2" s="43" t="s">
        <v>2</v>
      </c>
      <c r="AN2" s="3" t="s">
        <v>10</v>
      </c>
      <c r="AO2" s="44" t="s">
        <v>3</v>
      </c>
      <c r="AP2" s="43" t="s">
        <v>2</v>
      </c>
      <c r="AQ2" s="3" t="s">
        <v>11</v>
      </c>
      <c r="AR2" s="44" t="s">
        <v>3</v>
      </c>
      <c r="AS2" s="43" t="s">
        <v>2</v>
      </c>
      <c r="AT2" s="3" t="s">
        <v>12</v>
      </c>
      <c r="AU2" s="44" t="s">
        <v>3</v>
      </c>
      <c r="AV2" s="43" t="s">
        <v>2</v>
      </c>
      <c r="AW2" s="3">
        <v>100</v>
      </c>
      <c r="AX2" s="44" t="s">
        <v>13</v>
      </c>
      <c r="AY2" s="147" t="s">
        <v>431</v>
      </c>
      <c r="AZ2" s="3"/>
      <c r="BA2" s="44"/>
      <c r="BB2" s="147" t="s">
        <v>430</v>
      </c>
      <c r="BC2" s="3"/>
      <c r="BD2" s="44"/>
      <c r="BE2" s="147" t="s">
        <v>429</v>
      </c>
      <c r="BF2" s="3"/>
      <c r="BG2" s="44"/>
    </row>
    <row r="3" spans="1:59" s="2" customFormat="1" ht="22.5" thickBot="1">
      <c r="A3" s="1"/>
      <c r="B3" s="49"/>
      <c r="C3" s="4" t="s">
        <v>14</v>
      </c>
      <c r="D3" s="5" t="s">
        <v>15</v>
      </c>
      <c r="E3" s="6" t="s">
        <v>16</v>
      </c>
      <c r="F3" s="4" t="s">
        <v>14</v>
      </c>
      <c r="G3" s="5" t="s">
        <v>15</v>
      </c>
      <c r="H3" s="6" t="s">
        <v>16</v>
      </c>
      <c r="I3" s="7" t="s">
        <v>14</v>
      </c>
      <c r="J3" s="8" t="s">
        <v>15</v>
      </c>
      <c r="K3" s="9" t="s">
        <v>16</v>
      </c>
      <c r="L3" s="7" t="s">
        <v>14</v>
      </c>
      <c r="M3" s="8" t="s">
        <v>15</v>
      </c>
      <c r="N3" s="9" t="s">
        <v>16</v>
      </c>
      <c r="O3" s="7" t="s">
        <v>14</v>
      </c>
      <c r="P3" s="8" t="s">
        <v>15</v>
      </c>
      <c r="Q3" s="9" t="s">
        <v>16</v>
      </c>
      <c r="R3" s="7" t="s">
        <v>14</v>
      </c>
      <c r="S3" s="8" t="s">
        <v>15</v>
      </c>
      <c r="T3" s="9" t="s">
        <v>16</v>
      </c>
      <c r="U3" s="7" t="s">
        <v>14</v>
      </c>
      <c r="V3" s="8" t="s">
        <v>15</v>
      </c>
      <c r="W3" s="9" t="s">
        <v>16</v>
      </c>
      <c r="X3" s="7" t="s">
        <v>14</v>
      </c>
      <c r="Y3" s="8" t="s">
        <v>15</v>
      </c>
      <c r="Z3" s="9" t="s">
        <v>16</v>
      </c>
      <c r="AA3" s="10" t="s">
        <v>14</v>
      </c>
      <c r="AB3" s="8" t="s">
        <v>15</v>
      </c>
      <c r="AC3" s="9" t="s">
        <v>16</v>
      </c>
      <c r="AD3" s="7" t="s">
        <v>14</v>
      </c>
      <c r="AE3" s="8" t="s">
        <v>15</v>
      </c>
      <c r="AF3" s="9" t="s">
        <v>16</v>
      </c>
      <c r="AG3" s="7" t="s">
        <v>14</v>
      </c>
      <c r="AH3" s="8" t="s">
        <v>15</v>
      </c>
      <c r="AI3" s="9" t="s">
        <v>16</v>
      </c>
      <c r="AJ3" s="10" t="s">
        <v>14</v>
      </c>
      <c r="AK3" s="8" t="s">
        <v>15</v>
      </c>
      <c r="AL3" s="9" t="s">
        <v>16</v>
      </c>
      <c r="AM3" s="7" t="s">
        <v>14</v>
      </c>
      <c r="AN3" s="8" t="s">
        <v>15</v>
      </c>
      <c r="AO3" s="9" t="s">
        <v>16</v>
      </c>
      <c r="AP3" s="7" t="s">
        <v>14</v>
      </c>
      <c r="AQ3" s="8" t="s">
        <v>15</v>
      </c>
      <c r="AR3" s="9" t="s">
        <v>16</v>
      </c>
      <c r="AS3" s="10" t="s">
        <v>14</v>
      </c>
      <c r="AT3" s="8" t="s">
        <v>15</v>
      </c>
      <c r="AU3" s="9" t="s">
        <v>16</v>
      </c>
      <c r="AV3" s="10" t="s">
        <v>14</v>
      </c>
      <c r="AW3" s="8" t="s">
        <v>15</v>
      </c>
      <c r="AX3" s="9" t="s">
        <v>16</v>
      </c>
      <c r="AY3" s="7" t="s">
        <v>14</v>
      </c>
      <c r="AZ3" s="8" t="s">
        <v>15</v>
      </c>
      <c r="BA3" s="9" t="s">
        <v>16</v>
      </c>
      <c r="BB3" s="10" t="s">
        <v>14</v>
      </c>
      <c r="BC3" s="8" t="s">
        <v>15</v>
      </c>
      <c r="BD3" s="9" t="s">
        <v>16</v>
      </c>
      <c r="BE3" s="10" t="s">
        <v>14</v>
      </c>
      <c r="BF3" s="8" t="s">
        <v>15</v>
      </c>
      <c r="BG3" s="9" t="s">
        <v>16</v>
      </c>
    </row>
    <row r="4" spans="1:59" s="20" customFormat="1" ht="20.25" thickBot="1">
      <c r="A4" s="11"/>
      <c r="B4" s="12" t="s">
        <v>418</v>
      </c>
      <c r="C4" s="13">
        <f>SUM(C5:C54)</f>
        <v>0</v>
      </c>
      <c r="D4" s="14">
        <f>SUM(D5:D54)</f>
        <v>0</v>
      </c>
      <c r="E4" s="15">
        <f>C4+D4</f>
        <v>0</v>
      </c>
      <c r="F4" s="13">
        <f>SUM(F5:F54)</f>
        <v>146760</v>
      </c>
      <c r="G4" s="16">
        <f t="shared" ref="G4:BG4" si="0">SUM(G5:G54)</f>
        <v>179948</v>
      </c>
      <c r="H4" s="15">
        <f t="shared" si="0"/>
        <v>326708</v>
      </c>
      <c r="I4" s="17">
        <f t="shared" si="0"/>
        <v>37984</v>
      </c>
      <c r="J4" s="18">
        <f t="shared" si="0"/>
        <v>46162</v>
      </c>
      <c r="K4" s="19">
        <f t="shared" si="0"/>
        <v>84146</v>
      </c>
      <c r="L4" s="17">
        <f t="shared" si="0"/>
        <v>36778</v>
      </c>
      <c r="M4" s="18">
        <f t="shared" si="0"/>
        <v>45518</v>
      </c>
      <c r="N4" s="19">
        <f t="shared" si="0"/>
        <v>82296</v>
      </c>
      <c r="O4" s="17">
        <f t="shared" si="0"/>
        <v>35768</v>
      </c>
      <c r="P4" s="18">
        <f t="shared" si="0"/>
        <v>44039</v>
      </c>
      <c r="Q4" s="19">
        <f t="shared" si="0"/>
        <v>79807</v>
      </c>
      <c r="R4" s="17">
        <f t="shared" si="0"/>
        <v>36230</v>
      </c>
      <c r="S4" s="18">
        <f t="shared" si="0"/>
        <v>44229</v>
      </c>
      <c r="T4" s="19">
        <f t="shared" si="0"/>
        <v>80459</v>
      </c>
      <c r="U4" s="17">
        <f t="shared" si="0"/>
        <v>475306</v>
      </c>
      <c r="V4" s="18">
        <f t="shared" si="0"/>
        <v>648917</v>
      </c>
      <c r="W4" s="19">
        <f t="shared" si="0"/>
        <v>1124223</v>
      </c>
      <c r="X4" s="17">
        <f t="shared" si="0"/>
        <v>154526</v>
      </c>
      <c r="Y4" s="18">
        <f t="shared" si="0"/>
        <v>199106</v>
      </c>
      <c r="Z4" s="19">
        <f t="shared" si="0"/>
        <v>353632</v>
      </c>
      <c r="AA4" s="17">
        <f t="shared" si="0"/>
        <v>117288</v>
      </c>
      <c r="AB4" s="18">
        <f t="shared" si="0"/>
        <v>158098</v>
      </c>
      <c r="AC4" s="19">
        <f t="shared" si="0"/>
        <v>275386</v>
      </c>
      <c r="AD4" s="17">
        <f t="shared" si="0"/>
        <v>79140</v>
      </c>
      <c r="AE4" s="18">
        <f t="shared" si="0"/>
        <v>109280</v>
      </c>
      <c r="AF4" s="19">
        <f t="shared" si="0"/>
        <v>188420</v>
      </c>
      <c r="AG4" s="17">
        <f t="shared" si="0"/>
        <v>51618</v>
      </c>
      <c r="AH4" s="18">
        <f t="shared" si="0"/>
        <v>74044</v>
      </c>
      <c r="AI4" s="19">
        <f t="shared" si="0"/>
        <v>125662</v>
      </c>
      <c r="AJ4" s="17">
        <f t="shared" si="0"/>
        <v>37058</v>
      </c>
      <c r="AK4" s="18">
        <f t="shared" si="0"/>
        <v>55889</v>
      </c>
      <c r="AL4" s="19">
        <f t="shared" si="0"/>
        <v>92947</v>
      </c>
      <c r="AM4" s="17">
        <f t="shared" si="0"/>
        <v>20260</v>
      </c>
      <c r="AN4" s="18">
        <f t="shared" si="0"/>
        <v>31654</v>
      </c>
      <c r="AO4" s="19">
        <f t="shared" si="0"/>
        <v>51914</v>
      </c>
      <c r="AP4" s="17">
        <f t="shared" si="0"/>
        <v>8783</v>
      </c>
      <c r="AQ4" s="18">
        <f t="shared" si="0"/>
        <v>13886</v>
      </c>
      <c r="AR4" s="19">
        <f t="shared" si="0"/>
        <v>22669</v>
      </c>
      <c r="AS4" s="17">
        <f t="shared" si="0"/>
        <v>4396</v>
      </c>
      <c r="AT4" s="18">
        <f t="shared" si="0"/>
        <v>4978</v>
      </c>
      <c r="AU4" s="19">
        <f t="shared" si="0"/>
        <v>9374</v>
      </c>
      <c r="AV4" s="17">
        <f t="shared" si="0"/>
        <v>2237</v>
      </c>
      <c r="AW4" s="18">
        <f t="shared" si="0"/>
        <v>1982</v>
      </c>
      <c r="AX4" s="19">
        <f t="shared" si="0"/>
        <v>4219</v>
      </c>
      <c r="AY4" s="17">
        <f t="shared" si="0"/>
        <v>271814</v>
      </c>
      <c r="AZ4" s="18">
        <f t="shared" si="0"/>
        <v>357204</v>
      </c>
      <c r="BA4" s="19">
        <f t="shared" si="0"/>
        <v>629018</v>
      </c>
      <c r="BB4" s="17">
        <f t="shared" si="0"/>
        <v>130758</v>
      </c>
      <c r="BC4" s="18">
        <f t="shared" si="0"/>
        <v>183324</v>
      </c>
      <c r="BD4" s="19">
        <f t="shared" si="0"/>
        <v>314082</v>
      </c>
      <c r="BE4" s="17">
        <f t="shared" si="0"/>
        <v>72734</v>
      </c>
      <c r="BF4" s="18">
        <f t="shared" si="0"/>
        <v>108389</v>
      </c>
      <c r="BG4" s="19">
        <f t="shared" si="0"/>
        <v>181123</v>
      </c>
    </row>
    <row r="5" spans="1:59" s="32" customFormat="1" ht="23.25">
      <c r="A5" s="151">
        <v>1</v>
      </c>
      <c r="B5" s="22" t="s">
        <v>18</v>
      </c>
      <c r="C5" s="23"/>
      <c r="D5" s="24"/>
      <c r="E5" s="25">
        <v>0</v>
      </c>
      <c r="F5" s="26">
        <v>1361</v>
      </c>
      <c r="G5" s="27">
        <v>1431</v>
      </c>
      <c r="H5" s="28">
        <v>2792</v>
      </c>
      <c r="I5" s="29">
        <v>328</v>
      </c>
      <c r="J5" s="30">
        <v>344</v>
      </c>
      <c r="K5" s="31">
        <v>672</v>
      </c>
      <c r="L5" s="29">
        <v>317</v>
      </c>
      <c r="M5" s="30">
        <v>347</v>
      </c>
      <c r="N5" s="31">
        <v>664</v>
      </c>
      <c r="O5" s="29">
        <v>369</v>
      </c>
      <c r="P5" s="30">
        <v>354</v>
      </c>
      <c r="Q5" s="31">
        <v>723</v>
      </c>
      <c r="R5" s="29">
        <v>347</v>
      </c>
      <c r="S5" s="30">
        <v>386</v>
      </c>
      <c r="T5" s="31">
        <v>733</v>
      </c>
      <c r="U5" s="29">
        <v>6228</v>
      </c>
      <c r="V5" s="30">
        <v>7684</v>
      </c>
      <c r="W5" s="31">
        <v>13912</v>
      </c>
      <c r="X5" s="29">
        <v>1537</v>
      </c>
      <c r="Y5" s="30">
        <v>1908</v>
      </c>
      <c r="Z5" s="31">
        <v>3445</v>
      </c>
      <c r="AA5" s="29">
        <v>1466</v>
      </c>
      <c r="AB5" s="30">
        <v>1709</v>
      </c>
      <c r="AC5" s="31">
        <v>3175</v>
      </c>
      <c r="AD5" s="29">
        <v>1037</v>
      </c>
      <c r="AE5" s="30">
        <v>1353</v>
      </c>
      <c r="AF5" s="31">
        <v>2390</v>
      </c>
      <c r="AG5" s="29">
        <v>754</v>
      </c>
      <c r="AH5" s="30">
        <v>913</v>
      </c>
      <c r="AI5" s="31">
        <v>1667</v>
      </c>
      <c r="AJ5" s="29">
        <v>613</v>
      </c>
      <c r="AK5" s="30">
        <v>854</v>
      </c>
      <c r="AL5" s="31">
        <v>1467</v>
      </c>
      <c r="AM5" s="29">
        <v>392</v>
      </c>
      <c r="AN5" s="30">
        <v>555</v>
      </c>
      <c r="AO5" s="31">
        <v>947</v>
      </c>
      <c r="AP5" s="29">
        <v>203</v>
      </c>
      <c r="AQ5" s="30">
        <v>255</v>
      </c>
      <c r="AR5" s="31">
        <v>458</v>
      </c>
      <c r="AS5" s="29">
        <v>120</v>
      </c>
      <c r="AT5" s="30">
        <v>93</v>
      </c>
      <c r="AU5" s="31">
        <v>213</v>
      </c>
      <c r="AV5" s="29">
        <v>106</v>
      </c>
      <c r="AW5" s="30">
        <v>44</v>
      </c>
      <c r="AX5" s="31">
        <v>150</v>
      </c>
      <c r="AY5" s="29">
        <v>3003</v>
      </c>
      <c r="AZ5" s="30">
        <v>3617</v>
      </c>
      <c r="BA5" s="31">
        <v>6620</v>
      </c>
      <c r="BB5" s="29">
        <v>1791</v>
      </c>
      <c r="BC5" s="30">
        <v>2266</v>
      </c>
      <c r="BD5" s="31">
        <v>4057</v>
      </c>
      <c r="BE5" s="29">
        <v>1434</v>
      </c>
      <c r="BF5" s="30">
        <v>1801</v>
      </c>
      <c r="BG5" s="31">
        <v>3235</v>
      </c>
    </row>
    <row r="6" spans="1:59" s="32" customFormat="1" ht="23.25">
      <c r="A6" s="151">
        <v>2</v>
      </c>
      <c r="B6" s="22" t="s">
        <v>33</v>
      </c>
      <c r="C6" s="33"/>
      <c r="D6" s="34"/>
      <c r="E6" s="35">
        <v>0</v>
      </c>
      <c r="F6" s="26">
        <v>2723</v>
      </c>
      <c r="G6" s="27">
        <v>2794</v>
      </c>
      <c r="H6" s="28">
        <v>5517</v>
      </c>
      <c r="I6" s="29">
        <v>669</v>
      </c>
      <c r="J6" s="30">
        <v>690</v>
      </c>
      <c r="K6" s="31">
        <v>1359</v>
      </c>
      <c r="L6" s="29">
        <v>649</v>
      </c>
      <c r="M6" s="30">
        <v>718</v>
      </c>
      <c r="N6" s="31">
        <v>1367</v>
      </c>
      <c r="O6" s="29">
        <v>719</v>
      </c>
      <c r="P6" s="30">
        <v>666</v>
      </c>
      <c r="Q6" s="31">
        <v>1385</v>
      </c>
      <c r="R6" s="29">
        <v>686</v>
      </c>
      <c r="S6" s="30">
        <v>720</v>
      </c>
      <c r="T6" s="31">
        <v>1406</v>
      </c>
      <c r="U6" s="29">
        <v>11246</v>
      </c>
      <c r="V6" s="30">
        <v>12729</v>
      </c>
      <c r="W6" s="31">
        <v>23975</v>
      </c>
      <c r="X6" s="29">
        <v>2822</v>
      </c>
      <c r="Y6" s="30">
        <v>3065</v>
      </c>
      <c r="Z6" s="31">
        <v>5887</v>
      </c>
      <c r="AA6" s="29">
        <v>2276</v>
      </c>
      <c r="AB6" s="30">
        <v>2706</v>
      </c>
      <c r="AC6" s="31">
        <v>4982</v>
      </c>
      <c r="AD6" s="29">
        <v>1604</v>
      </c>
      <c r="AE6" s="30">
        <v>2034</v>
      </c>
      <c r="AF6" s="31">
        <v>3638</v>
      </c>
      <c r="AG6" s="29">
        <v>1305</v>
      </c>
      <c r="AH6" s="30">
        <v>1642</v>
      </c>
      <c r="AI6" s="31">
        <v>2947</v>
      </c>
      <c r="AJ6" s="29">
        <v>1207</v>
      </c>
      <c r="AK6" s="30">
        <v>1363</v>
      </c>
      <c r="AL6" s="31">
        <v>2570</v>
      </c>
      <c r="AM6" s="29">
        <v>940</v>
      </c>
      <c r="AN6" s="30">
        <v>982</v>
      </c>
      <c r="AO6" s="31">
        <v>1922</v>
      </c>
      <c r="AP6" s="29">
        <v>519</v>
      </c>
      <c r="AQ6" s="30">
        <v>465</v>
      </c>
      <c r="AR6" s="31">
        <v>984</v>
      </c>
      <c r="AS6" s="29">
        <v>342</v>
      </c>
      <c r="AT6" s="30">
        <v>307</v>
      </c>
      <c r="AU6" s="31">
        <v>649</v>
      </c>
      <c r="AV6" s="29">
        <v>231</v>
      </c>
      <c r="AW6" s="30">
        <v>165</v>
      </c>
      <c r="AX6" s="31">
        <v>396</v>
      </c>
      <c r="AY6" s="29">
        <f t="shared" ref="AY6:AY54" si="1">X6+AA6</f>
        <v>5098</v>
      </c>
      <c r="AZ6" s="30">
        <f t="shared" ref="AZ6:AZ54" si="2">Y6+AB6</f>
        <v>5771</v>
      </c>
      <c r="BA6" s="31">
        <f t="shared" ref="BA6:BA54" si="3">AY6+AZ6</f>
        <v>10869</v>
      </c>
      <c r="BB6" s="29">
        <f t="shared" ref="BB6:BB54" si="4">AD6+AG6</f>
        <v>2909</v>
      </c>
      <c r="BC6" s="30">
        <f t="shared" ref="BC6:BC54" si="5">AE6+AH6</f>
        <v>3676</v>
      </c>
      <c r="BD6" s="31">
        <f t="shared" ref="BD6:BD54" si="6">BB6+BC6</f>
        <v>6585</v>
      </c>
      <c r="BE6" s="29">
        <f t="shared" ref="BE6:BE54" si="7">AJ6+AM6+AP6+AS6+AV6</f>
        <v>3239</v>
      </c>
      <c r="BF6" s="30">
        <f t="shared" ref="BF6:BF54" si="8">AK6+AN6+AQ6+AT6+AW6</f>
        <v>3282</v>
      </c>
      <c r="BG6" s="31">
        <f t="shared" ref="BG6:BG54" si="9">BE6+BF6</f>
        <v>6521</v>
      </c>
    </row>
    <row r="7" spans="1:59" s="32" customFormat="1" ht="23.25">
      <c r="A7" s="151">
        <v>3</v>
      </c>
      <c r="B7" s="22" t="s">
        <v>34</v>
      </c>
      <c r="C7" s="33"/>
      <c r="D7" s="34"/>
      <c r="E7" s="35">
        <v>0</v>
      </c>
      <c r="F7" s="26">
        <v>0</v>
      </c>
      <c r="G7" s="27">
        <v>0</v>
      </c>
      <c r="H7" s="28">
        <v>0</v>
      </c>
      <c r="I7" s="29">
        <v>0</v>
      </c>
      <c r="J7" s="30">
        <v>0</v>
      </c>
      <c r="K7" s="31">
        <v>0</v>
      </c>
      <c r="L7" s="29">
        <v>0</v>
      </c>
      <c r="M7" s="30">
        <v>0</v>
      </c>
      <c r="N7" s="31">
        <v>0</v>
      </c>
      <c r="O7" s="29">
        <v>0</v>
      </c>
      <c r="P7" s="30">
        <v>0</v>
      </c>
      <c r="Q7" s="31">
        <v>0</v>
      </c>
      <c r="R7" s="29">
        <v>0</v>
      </c>
      <c r="S7" s="30">
        <v>0</v>
      </c>
      <c r="T7" s="31">
        <v>0</v>
      </c>
      <c r="U7" s="29">
        <v>5002</v>
      </c>
      <c r="V7" s="30">
        <v>6615</v>
      </c>
      <c r="W7" s="31">
        <v>11617</v>
      </c>
      <c r="X7" s="29">
        <v>1422</v>
      </c>
      <c r="Y7" s="30">
        <v>1742</v>
      </c>
      <c r="Z7" s="31">
        <v>3164</v>
      </c>
      <c r="AA7" s="29">
        <v>1288</v>
      </c>
      <c r="AB7" s="30">
        <v>1645</v>
      </c>
      <c r="AC7" s="31">
        <v>2933</v>
      </c>
      <c r="AD7" s="29">
        <v>910</v>
      </c>
      <c r="AE7" s="30">
        <v>1168</v>
      </c>
      <c r="AF7" s="31">
        <v>2078</v>
      </c>
      <c r="AG7" s="29">
        <v>530</v>
      </c>
      <c r="AH7" s="30">
        <v>746</v>
      </c>
      <c r="AI7" s="31">
        <v>1276</v>
      </c>
      <c r="AJ7" s="29">
        <v>447</v>
      </c>
      <c r="AK7" s="30">
        <v>662</v>
      </c>
      <c r="AL7" s="31">
        <v>1109</v>
      </c>
      <c r="AM7" s="29">
        <v>221</v>
      </c>
      <c r="AN7" s="30">
        <v>412</v>
      </c>
      <c r="AO7" s="31">
        <v>633</v>
      </c>
      <c r="AP7" s="29">
        <v>95</v>
      </c>
      <c r="AQ7" s="30">
        <v>170</v>
      </c>
      <c r="AR7" s="31">
        <v>265</v>
      </c>
      <c r="AS7" s="29">
        <v>61</v>
      </c>
      <c r="AT7" s="30">
        <v>48</v>
      </c>
      <c r="AU7" s="31">
        <v>109</v>
      </c>
      <c r="AV7" s="29">
        <v>28</v>
      </c>
      <c r="AW7" s="30">
        <v>22</v>
      </c>
      <c r="AX7" s="31">
        <v>50</v>
      </c>
      <c r="AY7" s="29">
        <v>2710</v>
      </c>
      <c r="AZ7" s="30">
        <v>3387</v>
      </c>
      <c r="BA7" s="31">
        <v>6097</v>
      </c>
      <c r="BB7" s="29">
        <v>1440</v>
      </c>
      <c r="BC7" s="30">
        <v>1914</v>
      </c>
      <c r="BD7" s="31">
        <v>3354</v>
      </c>
      <c r="BE7" s="29">
        <v>852</v>
      </c>
      <c r="BF7" s="30">
        <v>1314</v>
      </c>
      <c r="BG7" s="31">
        <v>2166</v>
      </c>
    </row>
    <row r="8" spans="1:59" s="32" customFormat="1" ht="23.25">
      <c r="A8" s="151">
        <v>4</v>
      </c>
      <c r="B8" s="22" t="s">
        <v>35</v>
      </c>
      <c r="C8" s="33"/>
      <c r="D8" s="34"/>
      <c r="E8" s="35">
        <v>0</v>
      </c>
      <c r="F8" s="26">
        <v>650</v>
      </c>
      <c r="G8" s="27">
        <v>783</v>
      </c>
      <c r="H8" s="28">
        <v>1433</v>
      </c>
      <c r="I8" s="29">
        <v>160</v>
      </c>
      <c r="J8" s="30">
        <v>207</v>
      </c>
      <c r="K8" s="31">
        <v>367</v>
      </c>
      <c r="L8" s="29">
        <v>170</v>
      </c>
      <c r="M8" s="30">
        <v>185</v>
      </c>
      <c r="N8" s="31">
        <v>355</v>
      </c>
      <c r="O8" s="29">
        <v>167</v>
      </c>
      <c r="P8" s="30">
        <v>169</v>
      </c>
      <c r="Q8" s="31">
        <v>336</v>
      </c>
      <c r="R8" s="29">
        <v>153</v>
      </c>
      <c r="S8" s="30">
        <v>222</v>
      </c>
      <c r="T8" s="31">
        <v>375</v>
      </c>
      <c r="U8" s="29">
        <v>3586</v>
      </c>
      <c r="V8" s="30">
        <v>4026</v>
      </c>
      <c r="W8" s="31">
        <v>7612</v>
      </c>
      <c r="X8" s="29">
        <v>860</v>
      </c>
      <c r="Y8" s="30">
        <v>952</v>
      </c>
      <c r="Z8" s="31">
        <v>1812</v>
      </c>
      <c r="AA8" s="29">
        <v>921</v>
      </c>
      <c r="AB8" s="30">
        <v>929</v>
      </c>
      <c r="AC8" s="31">
        <v>1850</v>
      </c>
      <c r="AD8" s="29">
        <v>589</v>
      </c>
      <c r="AE8" s="30">
        <v>737</v>
      </c>
      <c r="AF8" s="31">
        <v>1326</v>
      </c>
      <c r="AG8" s="29">
        <v>382</v>
      </c>
      <c r="AH8" s="30">
        <v>499</v>
      </c>
      <c r="AI8" s="31">
        <v>881</v>
      </c>
      <c r="AJ8" s="29">
        <v>337</v>
      </c>
      <c r="AK8" s="30">
        <v>426</v>
      </c>
      <c r="AL8" s="31">
        <v>763</v>
      </c>
      <c r="AM8" s="29">
        <v>210</v>
      </c>
      <c r="AN8" s="30">
        <v>282</v>
      </c>
      <c r="AO8" s="31">
        <v>492</v>
      </c>
      <c r="AP8" s="29">
        <v>136</v>
      </c>
      <c r="AQ8" s="30">
        <v>125</v>
      </c>
      <c r="AR8" s="31">
        <v>261</v>
      </c>
      <c r="AS8" s="29">
        <v>89</v>
      </c>
      <c r="AT8" s="30">
        <v>51</v>
      </c>
      <c r="AU8" s="31">
        <v>140</v>
      </c>
      <c r="AV8" s="29">
        <v>62</v>
      </c>
      <c r="AW8" s="30">
        <v>25</v>
      </c>
      <c r="AX8" s="31">
        <v>87</v>
      </c>
      <c r="AY8" s="29">
        <f t="shared" si="1"/>
        <v>1781</v>
      </c>
      <c r="AZ8" s="30">
        <f t="shared" si="2"/>
        <v>1881</v>
      </c>
      <c r="BA8" s="31">
        <f t="shared" si="3"/>
        <v>3662</v>
      </c>
      <c r="BB8" s="29">
        <f t="shared" si="4"/>
        <v>971</v>
      </c>
      <c r="BC8" s="30">
        <f t="shared" si="5"/>
        <v>1236</v>
      </c>
      <c r="BD8" s="31">
        <f t="shared" si="6"/>
        <v>2207</v>
      </c>
      <c r="BE8" s="29">
        <f t="shared" si="7"/>
        <v>834</v>
      </c>
      <c r="BF8" s="30">
        <f t="shared" si="8"/>
        <v>909</v>
      </c>
      <c r="BG8" s="31">
        <f t="shared" si="9"/>
        <v>1743</v>
      </c>
    </row>
    <row r="9" spans="1:59" s="32" customFormat="1" ht="23.25">
      <c r="A9" s="151">
        <v>5</v>
      </c>
      <c r="B9" s="22" t="s">
        <v>29</v>
      </c>
      <c r="C9" s="33"/>
      <c r="D9" s="34"/>
      <c r="E9" s="35">
        <v>0</v>
      </c>
      <c r="F9" s="26">
        <v>3136</v>
      </c>
      <c r="G9" s="27">
        <v>4083</v>
      </c>
      <c r="H9" s="28">
        <v>7219</v>
      </c>
      <c r="I9" s="29">
        <v>817</v>
      </c>
      <c r="J9" s="30">
        <v>972</v>
      </c>
      <c r="K9" s="31">
        <v>1789</v>
      </c>
      <c r="L9" s="29">
        <v>791</v>
      </c>
      <c r="M9" s="30">
        <v>1043</v>
      </c>
      <c r="N9" s="31">
        <v>1834</v>
      </c>
      <c r="O9" s="29">
        <v>785</v>
      </c>
      <c r="P9" s="30">
        <v>1050</v>
      </c>
      <c r="Q9" s="31">
        <v>1835</v>
      </c>
      <c r="R9" s="29">
        <v>743</v>
      </c>
      <c r="S9" s="30">
        <v>1018</v>
      </c>
      <c r="T9" s="31">
        <v>1761</v>
      </c>
      <c r="U9" s="29">
        <v>10697</v>
      </c>
      <c r="V9" s="30">
        <v>15935</v>
      </c>
      <c r="W9" s="31">
        <v>26632</v>
      </c>
      <c r="X9" s="29">
        <v>3378</v>
      </c>
      <c r="Y9" s="30">
        <v>4675</v>
      </c>
      <c r="Z9" s="31">
        <v>8053</v>
      </c>
      <c r="AA9" s="29">
        <v>2822</v>
      </c>
      <c r="AB9" s="30">
        <v>3896</v>
      </c>
      <c r="AC9" s="31">
        <v>6718</v>
      </c>
      <c r="AD9" s="29">
        <v>1860</v>
      </c>
      <c r="AE9" s="30">
        <v>2809</v>
      </c>
      <c r="AF9" s="31">
        <v>4669</v>
      </c>
      <c r="AG9" s="29">
        <v>1226</v>
      </c>
      <c r="AH9" s="30">
        <v>1945</v>
      </c>
      <c r="AI9" s="31">
        <v>3171</v>
      </c>
      <c r="AJ9" s="29">
        <v>789</v>
      </c>
      <c r="AK9" s="30">
        <v>1395</v>
      </c>
      <c r="AL9" s="31">
        <v>2184</v>
      </c>
      <c r="AM9" s="29">
        <v>394</v>
      </c>
      <c r="AN9" s="30">
        <v>831</v>
      </c>
      <c r="AO9" s="31">
        <v>1225</v>
      </c>
      <c r="AP9" s="29">
        <v>137</v>
      </c>
      <c r="AQ9" s="30">
        <v>289</v>
      </c>
      <c r="AR9" s="31">
        <v>426</v>
      </c>
      <c r="AS9" s="29">
        <v>62</v>
      </c>
      <c r="AT9" s="30">
        <v>71</v>
      </c>
      <c r="AU9" s="31">
        <v>133</v>
      </c>
      <c r="AV9" s="29">
        <v>29</v>
      </c>
      <c r="AW9" s="30">
        <v>24</v>
      </c>
      <c r="AX9" s="31">
        <v>53</v>
      </c>
      <c r="AY9" s="29">
        <f t="shared" si="1"/>
        <v>6200</v>
      </c>
      <c r="AZ9" s="30">
        <f t="shared" si="2"/>
        <v>8571</v>
      </c>
      <c r="BA9" s="31">
        <f t="shared" si="3"/>
        <v>14771</v>
      </c>
      <c r="BB9" s="29">
        <f t="shared" si="4"/>
        <v>3086</v>
      </c>
      <c r="BC9" s="30">
        <f t="shared" si="5"/>
        <v>4754</v>
      </c>
      <c r="BD9" s="31">
        <f t="shared" si="6"/>
        <v>7840</v>
      </c>
      <c r="BE9" s="29">
        <f t="shared" si="7"/>
        <v>1411</v>
      </c>
      <c r="BF9" s="30">
        <f t="shared" si="8"/>
        <v>2610</v>
      </c>
      <c r="BG9" s="31">
        <f t="shared" si="9"/>
        <v>4021</v>
      </c>
    </row>
    <row r="10" spans="1:59" s="32" customFormat="1" ht="23.25">
      <c r="A10" s="151">
        <v>6</v>
      </c>
      <c r="B10" s="22" t="s">
        <v>36</v>
      </c>
      <c r="C10" s="33"/>
      <c r="D10" s="34"/>
      <c r="E10" s="35">
        <v>0</v>
      </c>
      <c r="F10" s="26">
        <v>1824</v>
      </c>
      <c r="G10" s="27">
        <v>2355</v>
      </c>
      <c r="H10" s="28">
        <v>4179</v>
      </c>
      <c r="I10" s="36">
        <v>488</v>
      </c>
      <c r="J10" s="30">
        <v>608</v>
      </c>
      <c r="K10" s="31">
        <v>1096</v>
      </c>
      <c r="L10" s="29">
        <v>484</v>
      </c>
      <c r="M10" s="30">
        <v>544</v>
      </c>
      <c r="N10" s="31">
        <v>1028</v>
      </c>
      <c r="O10" s="29">
        <v>428</v>
      </c>
      <c r="P10" s="30">
        <v>634</v>
      </c>
      <c r="Q10" s="31">
        <v>1062</v>
      </c>
      <c r="R10" s="29">
        <v>424</v>
      </c>
      <c r="S10" s="30">
        <v>569</v>
      </c>
      <c r="T10" s="31">
        <v>993</v>
      </c>
      <c r="U10" s="29">
        <v>8421</v>
      </c>
      <c r="V10" s="30">
        <v>11857</v>
      </c>
      <c r="W10" s="31">
        <v>20278</v>
      </c>
      <c r="X10" s="29">
        <v>3768</v>
      </c>
      <c r="Y10" s="30">
        <v>5050</v>
      </c>
      <c r="Z10" s="31">
        <v>8818</v>
      </c>
      <c r="AA10" s="29">
        <v>1626</v>
      </c>
      <c r="AB10" s="30">
        <v>2388</v>
      </c>
      <c r="AC10" s="31">
        <v>4014</v>
      </c>
      <c r="AD10" s="29">
        <v>1236</v>
      </c>
      <c r="AE10" s="30">
        <v>1663</v>
      </c>
      <c r="AF10" s="31">
        <v>2899</v>
      </c>
      <c r="AG10" s="29">
        <v>793</v>
      </c>
      <c r="AH10" s="30">
        <v>1181</v>
      </c>
      <c r="AI10" s="31">
        <v>1974</v>
      </c>
      <c r="AJ10" s="29">
        <v>525</v>
      </c>
      <c r="AK10" s="30">
        <v>796</v>
      </c>
      <c r="AL10" s="31">
        <v>1321</v>
      </c>
      <c r="AM10" s="29">
        <v>275</v>
      </c>
      <c r="AN10" s="30">
        <v>467</v>
      </c>
      <c r="AO10" s="31">
        <v>742</v>
      </c>
      <c r="AP10" s="29">
        <v>130</v>
      </c>
      <c r="AQ10" s="30">
        <v>205</v>
      </c>
      <c r="AR10" s="31">
        <v>335</v>
      </c>
      <c r="AS10" s="29">
        <v>48</v>
      </c>
      <c r="AT10" s="30">
        <v>76</v>
      </c>
      <c r="AU10" s="31">
        <v>124</v>
      </c>
      <c r="AV10" s="29">
        <v>20</v>
      </c>
      <c r="AW10" s="30">
        <v>31</v>
      </c>
      <c r="AX10" s="31">
        <v>51</v>
      </c>
      <c r="AY10" s="29">
        <f t="shared" si="1"/>
        <v>5394</v>
      </c>
      <c r="AZ10" s="30">
        <f t="shared" si="2"/>
        <v>7438</v>
      </c>
      <c r="BA10" s="31">
        <f t="shared" si="3"/>
        <v>12832</v>
      </c>
      <c r="BB10" s="29">
        <f t="shared" si="4"/>
        <v>2029</v>
      </c>
      <c r="BC10" s="30">
        <f t="shared" si="5"/>
        <v>2844</v>
      </c>
      <c r="BD10" s="31">
        <f t="shared" si="6"/>
        <v>4873</v>
      </c>
      <c r="BE10" s="29">
        <f t="shared" si="7"/>
        <v>998</v>
      </c>
      <c r="BF10" s="30">
        <f t="shared" si="8"/>
        <v>1575</v>
      </c>
      <c r="BG10" s="31">
        <f t="shared" si="9"/>
        <v>2573</v>
      </c>
    </row>
    <row r="11" spans="1:59" s="32" customFormat="1" ht="23.25">
      <c r="A11" s="151">
        <v>7</v>
      </c>
      <c r="B11" s="22" t="s">
        <v>37</v>
      </c>
      <c r="C11" s="33"/>
      <c r="D11" s="34"/>
      <c r="E11" s="35">
        <v>0</v>
      </c>
      <c r="F11" s="26">
        <v>1700</v>
      </c>
      <c r="G11" s="27">
        <v>2028</v>
      </c>
      <c r="H11" s="28">
        <v>3728</v>
      </c>
      <c r="I11" s="29">
        <v>422</v>
      </c>
      <c r="J11" s="30">
        <v>522</v>
      </c>
      <c r="K11" s="31">
        <v>944</v>
      </c>
      <c r="L11" s="29">
        <v>416</v>
      </c>
      <c r="M11" s="30">
        <v>496</v>
      </c>
      <c r="N11" s="31">
        <v>912</v>
      </c>
      <c r="O11" s="29">
        <v>439</v>
      </c>
      <c r="P11" s="30">
        <v>516</v>
      </c>
      <c r="Q11" s="31">
        <v>955</v>
      </c>
      <c r="R11" s="29">
        <v>423</v>
      </c>
      <c r="S11" s="30">
        <v>494</v>
      </c>
      <c r="T11" s="31">
        <v>917</v>
      </c>
      <c r="U11" s="29">
        <v>5578</v>
      </c>
      <c r="V11" s="30">
        <v>8199</v>
      </c>
      <c r="W11" s="31">
        <v>13777</v>
      </c>
      <c r="X11" s="29">
        <v>1666</v>
      </c>
      <c r="Y11" s="30">
        <v>2170</v>
      </c>
      <c r="Z11" s="31">
        <v>3836</v>
      </c>
      <c r="AA11" s="29">
        <v>1291</v>
      </c>
      <c r="AB11" s="30">
        <v>1893</v>
      </c>
      <c r="AC11" s="31">
        <v>3184</v>
      </c>
      <c r="AD11" s="29">
        <v>959</v>
      </c>
      <c r="AE11" s="30">
        <v>1387</v>
      </c>
      <c r="AF11" s="31">
        <v>2346</v>
      </c>
      <c r="AG11" s="29">
        <v>656</v>
      </c>
      <c r="AH11" s="30">
        <v>1010</v>
      </c>
      <c r="AI11" s="31">
        <v>1666</v>
      </c>
      <c r="AJ11" s="29">
        <v>495</v>
      </c>
      <c r="AK11" s="30">
        <v>814</v>
      </c>
      <c r="AL11" s="31">
        <v>1309</v>
      </c>
      <c r="AM11" s="29">
        <v>325</v>
      </c>
      <c r="AN11" s="30">
        <v>509</v>
      </c>
      <c r="AO11" s="31">
        <v>834</v>
      </c>
      <c r="AP11" s="29">
        <v>123</v>
      </c>
      <c r="AQ11" s="30">
        <v>269</v>
      </c>
      <c r="AR11" s="31">
        <v>392</v>
      </c>
      <c r="AS11" s="29">
        <v>39</v>
      </c>
      <c r="AT11" s="30">
        <v>111</v>
      </c>
      <c r="AU11" s="31">
        <v>150</v>
      </c>
      <c r="AV11" s="29">
        <v>24</v>
      </c>
      <c r="AW11" s="30">
        <v>36</v>
      </c>
      <c r="AX11" s="31">
        <v>60</v>
      </c>
      <c r="AY11" s="29">
        <v>2957</v>
      </c>
      <c r="AZ11" s="30">
        <v>4063</v>
      </c>
      <c r="BA11" s="31">
        <v>7020</v>
      </c>
      <c r="BB11" s="29">
        <v>1615</v>
      </c>
      <c r="BC11" s="30">
        <v>2397</v>
      </c>
      <c r="BD11" s="31">
        <v>4012</v>
      </c>
      <c r="BE11" s="29">
        <v>1006</v>
      </c>
      <c r="BF11" s="30">
        <v>1739</v>
      </c>
      <c r="BG11" s="31">
        <v>2745</v>
      </c>
    </row>
    <row r="12" spans="1:59" s="32" customFormat="1" ht="23.25">
      <c r="A12" s="21">
        <v>8</v>
      </c>
      <c r="B12" s="22" t="s">
        <v>38</v>
      </c>
      <c r="C12" s="33"/>
      <c r="D12" s="34"/>
      <c r="E12" s="35">
        <v>0</v>
      </c>
      <c r="F12" s="26">
        <v>1928</v>
      </c>
      <c r="G12" s="27">
        <v>2062</v>
      </c>
      <c r="H12" s="28">
        <v>3990</v>
      </c>
      <c r="I12" s="29">
        <v>469</v>
      </c>
      <c r="J12" s="30">
        <v>521</v>
      </c>
      <c r="K12" s="31">
        <v>990</v>
      </c>
      <c r="L12" s="29">
        <v>497</v>
      </c>
      <c r="M12" s="30">
        <v>517</v>
      </c>
      <c r="N12" s="31">
        <v>1014</v>
      </c>
      <c r="O12" s="29">
        <v>477</v>
      </c>
      <c r="P12" s="30">
        <v>521</v>
      </c>
      <c r="Q12" s="31">
        <v>998</v>
      </c>
      <c r="R12" s="29">
        <v>485</v>
      </c>
      <c r="S12" s="30">
        <v>503</v>
      </c>
      <c r="T12" s="31">
        <v>988</v>
      </c>
      <c r="U12" s="29">
        <v>6862</v>
      </c>
      <c r="V12" s="30">
        <v>8580</v>
      </c>
      <c r="W12" s="31">
        <v>15442</v>
      </c>
      <c r="X12" s="29">
        <v>1934</v>
      </c>
      <c r="Y12" s="30">
        <v>2199</v>
      </c>
      <c r="Z12" s="31">
        <v>4133</v>
      </c>
      <c r="AA12" s="29">
        <v>1512</v>
      </c>
      <c r="AB12" s="30">
        <v>1804</v>
      </c>
      <c r="AC12" s="31">
        <v>3316</v>
      </c>
      <c r="AD12" s="29">
        <v>1059</v>
      </c>
      <c r="AE12" s="30">
        <v>1379</v>
      </c>
      <c r="AF12" s="31">
        <v>2438</v>
      </c>
      <c r="AG12" s="29">
        <v>739</v>
      </c>
      <c r="AH12" s="30">
        <v>976</v>
      </c>
      <c r="AI12" s="31">
        <v>1715</v>
      </c>
      <c r="AJ12" s="29">
        <v>615</v>
      </c>
      <c r="AK12" s="30">
        <v>930</v>
      </c>
      <c r="AL12" s="31">
        <v>1545</v>
      </c>
      <c r="AM12" s="29">
        <v>443</v>
      </c>
      <c r="AN12" s="30">
        <v>737</v>
      </c>
      <c r="AO12" s="31">
        <v>1180</v>
      </c>
      <c r="AP12" s="29">
        <v>268</v>
      </c>
      <c r="AQ12" s="30">
        <v>295</v>
      </c>
      <c r="AR12" s="31">
        <v>563</v>
      </c>
      <c r="AS12" s="29">
        <v>177</v>
      </c>
      <c r="AT12" s="30">
        <v>186</v>
      </c>
      <c r="AU12" s="31">
        <v>363</v>
      </c>
      <c r="AV12" s="29">
        <v>115</v>
      </c>
      <c r="AW12" s="30">
        <v>74</v>
      </c>
      <c r="AX12" s="31">
        <v>189</v>
      </c>
      <c r="AY12" s="29">
        <f t="shared" si="1"/>
        <v>3446</v>
      </c>
      <c r="AZ12" s="30">
        <f t="shared" si="2"/>
        <v>4003</v>
      </c>
      <c r="BA12" s="31">
        <f t="shared" si="3"/>
        <v>7449</v>
      </c>
      <c r="BB12" s="29">
        <f t="shared" si="4"/>
        <v>1798</v>
      </c>
      <c r="BC12" s="30">
        <f t="shared" si="5"/>
        <v>2355</v>
      </c>
      <c r="BD12" s="31">
        <f t="shared" si="6"/>
        <v>4153</v>
      </c>
      <c r="BE12" s="29">
        <f t="shared" si="7"/>
        <v>1618</v>
      </c>
      <c r="BF12" s="30">
        <f t="shared" si="8"/>
        <v>2222</v>
      </c>
      <c r="BG12" s="31">
        <f t="shared" si="9"/>
        <v>3840</v>
      </c>
    </row>
    <row r="13" spans="1:59" s="32" customFormat="1" ht="23.25">
      <c r="A13" s="21">
        <v>9</v>
      </c>
      <c r="B13" s="22" t="s">
        <v>39</v>
      </c>
      <c r="C13" s="33"/>
      <c r="D13" s="34"/>
      <c r="E13" s="35">
        <v>0</v>
      </c>
      <c r="F13" s="26">
        <v>2751</v>
      </c>
      <c r="G13" s="27">
        <v>3517</v>
      </c>
      <c r="H13" s="28">
        <v>6268</v>
      </c>
      <c r="I13" s="29">
        <v>733</v>
      </c>
      <c r="J13" s="30">
        <v>948</v>
      </c>
      <c r="K13" s="31">
        <v>1681</v>
      </c>
      <c r="L13" s="29">
        <v>722</v>
      </c>
      <c r="M13" s="30">
        <v>885</v>
      </c>
      <c r="N13" s="31">
        <v>1607</v>
      </c>
      <c r="O13" s="29">
        <v>636</v>
      </c>
      <c r="P13" s="30">
        <v>834</v>
      </c>
      <c r="Q13" s="31">
        <v>1470</v>
      </c>
      <c r="R13" s="29">
        <v>660</v>
      </c>
      <c r="S13" s="30">
        <v>850</v>
      </c>
      <c r="T13" s="31">
        <v>1510</v>
      </c>
      <c r="U13" s="29">
        <v>8963</v>
      </c>
      <c r="V13" s="30">
        <v>12762</v>
      </c>
      <c r="W13" s="31">
        <v>21725</v>
      </c>
      <c r="X13" s="29">
        <v>2817</v>
      </c>
      <c r="Y13" s="30">
        <v>3723</v>
      </c>
      <c r="Z13" s="31">
        <v>6540</v>
      </c>
      <c r="AA13" s="29">
        <v>2278</v>
      </c>
      <c r="AB13" s="30">
        <v>3032</v>
      </c>
      <c r="AC13" s="31">
        <v>5310</v>
      </c>
      <c r="AD13" s="29">
        <v>1509</v>
      </c>
      <c r="AE13" s="30">
        <v>2204</v>
      </c>
      <c r="AF13" s="31">
        <v>3713</v>
      </c>
      <c r="AG13" s="29">
        <v>1030</v>
      </c>
      <c r="AH13" s="30">
        <v>1574</v>
      </c>
      <c r="AI13" s="31">
        <v>2604</v>
      </c>
      <c r="AJ13" s="29">
        <v>744</v>
      </c>
      <c r="AK13" s="30">
        <v>1150</v>
      </c>
      <c r="AL13" s="31">
        <v>1894</v>
      </c>
      <c r="AM13" s="29">
        <v>357</v>
      </c>
      <c r="AN13" s="30">
        <v>666</v>
      </c>
      <c r="AO13" s="31">
        <v>1023</v>
      </c>
      <c r="AP13" s="29">
        <v>162</v>
      </c>
      <c r="AQ13" s="30">
        <v>301</v>
      </c>
      <c r="AR13" s="31">
        <v>463</v>
      </c>
      <c r="AS13" s="29">
        <v>46</v>
      </c>
      <c r="AT13" s="30">
        <v>81</v>
      </c>
      <c r="AU13" s="31">
        <v>127</v>
      </c>
      <c r="AV13" s="29">
        <v>20</v>
      </c>
      <c r="AW13" s="30">
        <v>31</v>
      </c>
      <c r="AX13" s="31">
        <v>51</v>
      </c>
      <c r="AY13" s="29">
        <f t="shared" si="1"/>
        <v>5095</v>
      </c>
      <c r="AZ13" s="30">
        <f t="shared" si="2"/>
        <v>6755</v>
      </c>
      <c r="BA13" s="31">
        <f t="shared" si="3"/>
        <v>11850</v>
      </c>
      <c r="BB13" s="29">
        <f t="shared" si="4"/>
        <v>2539</v>
      </c>
      <c r="BC13" s="30">
        <f t="shared" si="5"/>
        <v>3778</v>
      </c>
      <c r="BD13" s="31">
        <f t="shared" si="6"/>
        <v>6317</v>
      </c>
      <c r="BE13" s="29">
        <f t="shared" si="7"/>
        <v>1329</v>
      </c>
      <c r="BF13" s="30">
        <f t="shared" si="8"/>
        <v>2229</v>
      </c>
      <c r="BG13" s="31">
        <f t="shared" si="9"/>
        <v>3558</v>
      </c>
    </row>
    <row r="14" spans="1:59" s="32" customFormat="1" ht="23.25">
      <c r="A14" s="21">
        <v>10</v>
      </c>
      <c r="B14" s="22" t="s">
        <v>40</v>
      </c>
      <c r="C14" s="33"/>
      <c r="D14" s="34"/>
      <c r="E14" s="35">
        <v>0</v>
      </c>
      <c r="F14" s="26">
        <v>1274</v>
      </c>
      <c r="G14" s="27">
        <v>1466</v>
      </c>
      <c r="H14" s="28">
        <v>2740</v>
      </c>
      <c r="I14" s="29">
        <v>306</v>
      </c>
      <c r="J14" s="30">
        <v>379</v>
      </c>
      <c r="K14" s="31">
        <v>685</v>
      </c>
      <c r="L14" s="29">
        <v>279</v>
      </c>
      <c r="M14" s="30">
        <v>359</v>
      </c>
      <c r="N14" s="31">
        <v>638</v>
      </c>
      <c r="O14" s="29">
        <v>391</v>
      </c>
      <c r="P14" s="30">
        <v>362</v>
      </c>
      <c r="Q14" s="31">
        <v>753</v>
      </c>
      <c r="R14" s="29">
        <v>298</v>
      </c>
      <c r="S14" s="30">
        <v>366</v>
      </c>
      <c r="T14" s="31">
        <v>664</v>
      </c>
      <c r="U14" s="29">
        <v>5236</v>
      </c>
      <c r="V14" s="30">
        <v>6419</v>
      </c>
      <c r="W14" s="31">
        <v>11655</v>
      </c>
      <c r="X14" s="29">
        <v>1353</v>
      </c>
      <c r="Y14" s="30">
        <v>1650</v>
      </c>
      <c r="Z14" s="31">
        <v>3003</v>
      </c>
      <c r="AA14" s="29">
        <v>1202</v>
      </c>
      <c r="AB14" s="30">
        <v>1577</v>
      </c>
      <c r="AC14" s="31">
        <v>2779</v>
      </c>
      <c r="AD14" s="29">
        <v>847</v>
      </c>
      <c r="AE14" s="30">
        <v>1078</v>
      </c>
      <c r="AF14" s="31">
        <v>1925</v>
      </c>
      <c r="AG14" s="29">
        <v>597</v>
      </c>
      <c r="AH14" s="30">
        <v>765</v>
      </c>
      <c r="AI14" s="31">
        <v>1362</v>
      </c>
      <c r="AJ14" s="29">
        <v>521</v>
      </c>
      <c r="AK14" s="30">
        <v>611</v>
      </c>
      <c r="AL14" s="31">
        <v>1132</v>
      </c>
      <c r="AM14" s="29">
        <v>334</v>
      </c>
      <c r="AN14" s="30">
        <v>422</v>
      </c>
      <c r="AO14" s="31">
        <v>756</v>
      </c>
      <c r="AP14" s="29">
        <v>181</v>
      </c>
      <c r="AQ14" s="30">
        <v>181</v>
      </c>
      <c r="AR14" s="31">
        <v>362</v>
      </c>
      <c r="AS14" s="29">
        <v>118</v>
      </c>
      <c r="AT14" s="30">
        <v>87</v>
      </c>
      <c r="AU14" s="31">
        <v>205</v>
      </c>
      <c r="AV14" s="29">
        <v>83</v>
      </c>
      <c r="AW14" s="30">
        <v>48</v>
      </c>
      <c r="AX14" s="31">
        <v>131</v>
      </c>
      <c r="AY14" s="29">
        <f t="shared" si="1"/>
        <v>2555</v>
      </c>
      <c r="AZ14" s="30">
        <f t="shared" si="2"/>
        <v>3227</v>
      </c>
      <c r="BA14" s="31">
        <f t="shared" si="3"/>
        <v>5782</v>
      </c>
      <c r="BB14" s="29">
        <f t="shared" si="4"/>
        <v>1444</v>
      </c>
      <c r="BC14" s="30">
        <f t="shared" si="5"/>
        <v>1843</v>
      </c>
      <c r="BD14" s="31">
        <f t="shared" si="6"/>
        <v>3287</v>
      </c>
      <c r="BE14" s="29">
        <f t="shared" si="7"/>
        <v>1237</v>
      </c>
      <c r="BF14" s="30">
        <f t="shared" si="8"/>
        <v>1349</v>
      </c>
      <c r="BG14" s="31">
        <f t="shared" si="9"/>
        <v>2586</v>
      </c>
    </row>
    <row r="15" spans="1:59" s="32" customFormat="1" ht="23.25">
      <c r="A15" s="21">
        <v>11</v>
      </c>
      <c r="B15" s="22" t="s">
        <v>41</v>
      </c>
      <c r="C15" s="33"/>
      <c r="D15" s="34"/>
      <c r="E15" s="35">
        <v>0</v>
      </c>
      <c r="F15" s="26">
        <v>996</v>
      </c>
      <c r="G15" s="27">
        <v>1360</v>
      </c>
      <c r="H15" s="28">
        <v>2356</v>
      </c>
      <c r="I15" s="29">
        <v>251</v>
      </c>
      <c r="J15" s="30">
        <v>343</v>
      </c>
      <c r="K15" s="31">
        <v>594</v>
      </c>
      <c r="L15" s="29">
        <v>249</v>
      </c>
      <c r="M15" s="30">
        <v>344</v>
      </c>
      <c r="N15" s="31">
        <v>593</v>
      </c>
      <c r="O15" s="29">
        <v>235</v>
      </c>
      <c r="P15" s="30">
        <v>328</v>
      </c>
      <c r="Q15" s="31">
        <v>563</v>
      </c>
      <c r="R15" s="29">
        <v>261</v>
      </c>
      <c r="S15" s="30">
        <v>345</v>
      </c>
      <c r="T15" s="31">
        <v>606</v>
      </c>
      <c r="U15" s="29">
        <v>5090</v>
      </c>
      <c r="V15" s="30">
        <v>6723</v>
      </c>
      <c r="W15" s="31">
        <v>11813</v>
      </c>
      <c r="X15" s="29">
        <v>1267</v>
      </c>
      <c r="Y15" s="30">
        <v>1600</v>
      </c>
      <c r="Z15" s="31">
        <v>2867</v>
      </c>
      <c r="AA15" s="29">
        <v>1142</v>
      </c>
      <c r="AB15" s="30">
        <v>1581</v>
      </c>
      <c r="AC15" s="31">
        <v>2723</v>
      </c>
      <c r="AD15" s="29">
        <v>916</v>
      </c>
      <c r="AE15" s="30">
        <v>1231</v>
      </c>
      <c r="AF15" s="31">
        <v>2147</v>
      </c>
      <c r="AG15" s="29">
        <v>603</v>
      </c>
      <c r="AH15" s="30">
        <v>790</v>
      </c>
      <c r="AI15" s="31">
        <v>1393</v>
      </c>
      <c r="AJ15" s="29">
        <v>483</v>
      </c>
      <c r="AK15" s="30">
        <v>740</v>
      </c>
      <c r="AL15" s="31">
        <v>1223</v>
      </c>
      <c r="AM15" s="29">
        <v>316</v>
      </c>
      <c r="AN15" s="30">
        <v>436</v>
      </c>
      <c r="AO15" s="31">
        <v>752</v>
      </c>
      <c r="AP15" s="29">
        <v>209</v>
      </c>
      <c r="AQ15" s="30">
        <v>204</v>
      </c>
      <c r="AR15" s="31">
        <v>413</v>
      </c>
      <c r="AS15" s="29">
        <v>103</v>
      </c>
      <c r="AT15" s="30">
        <v>98</v>
      </c>
      <c r="AU15" s="31">
        <v>201</v>
      </c>
      <c r="AV15" s="29">
        <v>51</v>
      </c>
      <c r="AW15" s="30">
        <v>43</v>
      </c>
      <c r="AX15" s="31">
        <v>94</v>
      </c>
      <c r="AY15" s="29">
        <f t="shared" si="1"/>
        <v>2409</v>
      </c>
      <c r="AZ15" s="30">
        <f t="shared" si="2"/>
        <v>3181</v>
      </c>
      <c r="BA15" s="31">
        <f t="shared" si="3"/>
        <v>5590</v>
      </c>
      <c r="BB15" s="29">
        <f t="shared" si="4"/>
        <v>1519</v>
      </c>
      <c r="BC15" s="30">
        <f t="shared" si="5"/>
        <v>2021</v>
      </c>
      <c r="BD15" s="31">
        <f t="shared" si="6"/>
        <v>3540</v>
      </c>
      <c r="BE15" s="29">
        <f t="shared" si="7"/>
        <v>1162</v>
      </c>
      <c r="BF15" s="30">
        <f t="shared" si="8"/>
        <v>1521</v>
      </c>
      <c r="BG15" s="31">
        <f t="shared" si="9"/>
        <v>2683</v>
      </c>
    </row>
    <row r="16" spans="1:59" s="32" customFormat="1" ht="23.25">
      <c r="A16" s="21">
        <v>12</v>
      </c>
      <c r="B16" s="22" t="s">
        <v>42</v>
      </c>
      <c r="C16" s="33"/>
      <c r="D16" s="34"/>
      <c r="E16" s="35">
        <v>0</v>
      </c>
      <c r="F16" s="26">
        <v>2154</v>
      </c>
      <c r="G16" s="27">
        <v>2656</v>
      </c>
      <c r="H16" s="28">
        <v>4810</v>
      </c>
      <c r="I16" s="29">
        <v>517</v>
      </c>
      <c r="J16" s="30">
        <v>678</v>
      </c>
      <c r="K16" s="31">
        <v>1195</v>
      </c>
      <c r="L16" s="29">
        <v>514</v>
      </c>
      <c r="M16" s="30">
        <v>646</v>
      </c>
      <c r="N16" s="31">
        <v>1160</v>
      </c>
      <c r="O16" s="29">
        <v>533</v>
      </c>
      <c r="P16" s="30">
        <v>646</v>
      </c>
      <c r="Q16" s="31">
        <v>1179</v>
      </c>
      <c r="R16" s="29">
        <v>590</v>
      </c>
      <c r="S16" s="30">
        <v>686</v>
      </c>
      <c r="T16" s="31">
        <v>1276</v>
      </c>
      <c r="U16" s="29">
        <v>9011</v>
      </c>
      <c r="V16" s="30">
        <v>12060</v>
      </c>
      <c r="W16" s="31">
        <v>21071</v>
      </c>
      <c r="X16" s="29">
        <v>2489</v>
      </c>
      <c r="Y16" s="30">
        <v>3180</v>
      </c>
      <c r="Z16" s="31">
        <v>5669</v>
      </c>
      <c r="AA16" s="29">
        <v>2149</v>
      </c>
      <c r="AB16" s="30">
        <v>2873</v>
      </c>
      <c r="AC16" s="31">
        <v>5022</v>
      </c>
      <c r="AD16" s="29">
        <v>1519</v>
      </c>
      <c r="AE16" s="30">
        <v>2016</v>
      </c>
      <c r="AF16" s="31">
        <v>3535</v>
      </c>
      <c r="AG16" s="29">
        <v>1007</v>
      </c>
      <c r="AH16" s="30">
        <v>1423</v>
      </c>
      <c r="AI16" s="31">
        <v>2430</v>
      </c>
      <c r="AJ16" s="29">
        <v>802</v>
      </c>
      <c r="AK16" s="30">
        <v>1192</v>
      </c>
      <c r="AL16" s="31">
        <v>1994</v>
      </c>
      <c r="AM16" s="29">
        <v>483</v>
      </c>
      <c r="AN16" s="30">
        <v>719</v>
      </c>
      <c r="AO16" s="31">
        <v>1202</v>
      </c>
      <c r="AP16" s="29">
        <v>255</v>
      </c>
      <c r="AQ16" s="30">
        <v>392</v>
      </c>
      <c r="AR16" s="31">
        <v>647</v>
      </c>
      <c r="AS16" s="29">
        <v>158</v>
      </c>
      <c r="AT16" s="30">
        <v>166</v>
      </c>
      <c r="AU16" s="31">
        <v>324</v>
      </c>
      <c r="AV16" s="29">
        <v>149</v>
      </c>
      <c r="AW16" s="30">
        <v>99</v>
      </c>
      <c r="AX16" s="31">
        <v>248</v>
      </c>
      <c r="AY16" s="29">
        <f t="shared" si="1"/>
        <v>4638</v>
      </c>
      <c r="AZ16" s="30">
        <f t="shared" si="2"/>
        <v>6053</v>
      </c>
      <c r="BA16" s="31">
        <f t="shared" si="3"/>
        <v>10691</v>
      </c>
      <c r="BB16" s="29">
        <f t="shared" si="4"/>
        <v>2526</v>
      </c>
      <c r="BC16" s="30">
        <f t="shared" si="5"/>
        <v>3439</v>
      </c>
      <c r="BD16" s="31">
        <f t="shared" si="6"/>
        <v>5965</v>
      </c>
      <c r="BE16" s="29">
        <f t="shared" si="7"/>
        <v>1847</v>
      </c>
      <c r="BF16" s="30">
        <f t="shared" si="8"/>
        <v>2568</v>
      </c>
      <c r="BG16" s="31">
        <f t="shared" si="9"/>
        <v>4415</v>
      </c>
    </row>
    <row r="17" spans="1:59" s="32" customFormat="1" ht="23.25">
      <c r="A17" s="21">
        <v>13</v>
      </c>
      <c r="B17" s="22" t="s">
        <v>43</v>
      </c>
      <c r="C17" s="33"/>
      <c r="D17" s="34"/>
      <c r="E17" s="35">
        <v>0</v>
      </c>
      <c r="F17" s="26">
        <v>2416</v>
      </c>
      <c r="G17" s="27">
        <v>2899</v>
      </c>
      <c r="H17" s="28">
        <v>5315</v>
      </c>
      <c r="I17" s="29">
        <v>614</v>
      </c>
      <c r="J17" s="30">
        <v>705</v>
      </c>
      <c r="K17" s="31">
        <v>1319</v>
      </c>
      <c r="L17" s="29">
        <v>604</v>
      </c>
      <c r="M17" s="30">
        <v>723</v>
      </c>
      <c r="N17" s="31">
        <v>1327</v>
      </c>
      <c r="O17" s="29">
        <v>602</v>
      </c>
      <c r="P17" s="30">
        <v>726</v>
      </c>
      <c r="Q17" s="31">
        <v>1328</v>
      </c>
      <c r="R17" s="29">
        <v>596</v>
      </c>
      <c r="S17" s="30">
        <v>745</v>
      </c>
      <c r="T17" s="31">
        <v>1341</v>
      </c>
      <c r="U17" s="29">
        <v>9929</v>
      </c>
      <c r="V17" s="30">
        <v>12379</v>
      </c>
      <c r="W17" s="31">
        <v>22308</v>
      </c>
      <c r="X17" s="29">
        <v>2866</v>
      </c>
      <c r="Y17" s="30">
        <v>3489</v>
      </c>
      <c r="Z17" s="31">
        <v>6355</v>
      </c>
      <c r="AA17" s="29">
        <v>2544</v>
      </c>
      <c r="AB17" s="30">
        <v>3107</v>
      </c>
      <c r="AC17" s="31">
        <v>5651</v>
      </c>
      <c r="AD17" s="29">
        <v>1629</v>
      </c>
      <c r="AE17" s="30">
        <v>2094</v>
      </c>
      <c r="AF17" s="31">
        <v>3723</v>
      </c>
      <c r="AG17" s="29">
        <v>1018</v>
      </c>
      <c r="AH17" s="30">
        <v>1180</v>
      </c>
      <c r="AI17" s="31">
        <v>2198</v>
      </c>
      <c r="AJ17" s="29">
        <v>837</v>
      </c>
      <c r="AK17" s="30">
        <v>1211</v>
      </c>
      <c r="AL17" s="31">
        <v>2048</v>
      </c>
      <c r="AM17" s="29">
        <v>493</v>
      </c>
      <c r="AN17" s="30">
        <v>755</v>
      </c>
      <c r="AO17" s="31">
        <v>1248</v>
      </c>
      <c r="AP17" s="29">
        <v>280</v>
      </c>
      <c r="AQ17" s="30">
        <v>351</v>
      </c>
      <c r="AR17" s="31">
        <v>631</v>
      </c>
      <c r="AS17" s="29">
        <v>180</v>
      </c>
      <c r="AT17" s="30">
        <v>127</v>
      </c>
      <c r="AU17" s="31">
        <v>307</v>
      </c>
      <c r="AV17" s="29">
        <v>82</v>
      </c>
      <c r="AW17" s="30">
        <v>65</v>
      </c>
      <c r="AX17" s="31">
        <v>147</v>
      </c>
      <c r="AY17" s="29">
        <f t="shared" si="1"/>
        <v>5410</v>
      </c>
      <c r="AZ17" s="30">
        <f t="shared" si="2"/>
        <v>6596</v>
      </c>
      <c r="BA17" s="31">
        <f t="shared" si="3"/>
        <v>12006</v>
      </c>
      <c r="BB17" s="29">
        <f t="shared" si="4"/>
        <v>2647</v>
      </c>
      <c r="BC17" s="30">
        <f t="shared" si="5"/>
        <v>3274</v>
      </c>
      <c r="BD17" s="31">
        <f t="shared" si="6"/>
        <v>5921</v>
      </c>
      <c r="BE17" s="29">
        <f t="shared" si="7"/>
        <v>1872</v>
      </c>
      <c r="BF17" s="30">
        <f t="shared" si="8"/>
        <v>2509</v>
      </c>
      <c r="BG17" s="31">
        <f t="shared" si="9"/>
        <v>4381</v>
      </c>
    </row>
    <row r="18" spans="1:59" s="32" customFormat="1" ht="23.25">
      <c r="A18" s="21">
        <v>14</v>
      </c>
      <c r="B18" s="22" t="s">
        <v>44</v>
      </c>
      <c r="C18" s="33"/>
      <c r="D18" s="34"/>
      <c r="E18" s="35">
        <v>0</v>
      </c>
      <c r="F18" s="26">
        <v>1995</v>
      </c>
      <c r="G18" s="27">
        <v>2594</v>
      </c>
      <c r="H18" s="28">
        <v>4589</v>
      </c>
      <c r="I18" s="29">
        <v>538</v>
      </c>
      <c r="J18" s="30">
        <v>658</v>
      </c>
      <c r="K18" s="31">
        <v>1196</v>
      </c>
      <c r="L18" s="29">
        <v>507</v>
      </c>
      <c r="M18" s="30">
        <v>655</v>
      </c>
      <c r="N18" s="31">
        <v>1162</v>
      </c>
      <c r="O18" s="29">
        <v>452</v>
      </c>
      <c r="P18" s="30">
        <v>615</v>
      </c>
      <c r="Q18" s="31">
        <v>1067</v>
      </c>
      <c r="R18" s="29">
        <v>498</v>
      </c>
      <c r="S18" s="30">
        <v>666</v>
      </c>
      <c r="T18" s="31">
        <v>1164</v>
      </c>
      <c r="U18" s="29">
        <v>7848</v>
      </c>
      <c r="V18" s="30">
        <v>10111</v>
      </c>
      <c r="W18" s="31">
        <v>17959</v>
      </c>
      <c r="X18" s="29">
        <v>2308</v>
      </c>
      <c r="Y18" s="30">
        <v>2887</v>
      </c>
      <c r="Z18" s="31">
        <v>5195</v>
      </c>
      <c r="AA18" s="29">
        <v>1953</v>
      </c>
      <c r="AB18" s="30">
        <v>2539</v>
      </c>
      <c r="AC18" s="31">
        <v>4492</v>
      </c>
      <c r="AD18" s="29">
        <v>1343</v>
      </c>
      <c r="AE18" s="30">
        <v>1766</v>
      </c>
      <c r="AF18" s="31">
        <v>3109</v>
      </c>
      <c r="AG18" s="29">
        <v>894</v>
      </c>
      <c r="AH18" s="30">
        <v>1131</v>
      </c>
      <c r="AI18" s="31">
        <v>2025</v>
      </c>
      <c r="AJ18" s="29">
        <v>611</v>
      </c>
      <c r="AK18" s="30">
        <v>831</v>
      </c>
      <c r="AL18" s="31">
        <v>1442</v>
      </c>
      <c r="AM18" s="29">
        <v>373</v>
      </c>
      <c r="AN18" s="30">
        <v>532</v>
      </c>
      <c r="AO18" s="31">
        <v>905</v>
      </c>
      <c r="AP18" s="29">
        <v>189</v>
      </c>
      <c r="AQ18" s="30">
        <v>248</v>
      </c>
      <c r="AR18" s="31">
        <v>437</v>
      </c>
      <c r="AS18" s="29">
        <v>105</v>
      </c>
      <c r="AT18" s="30">
        <v>117</v>
      </c>
      <c r="AU18" s="31">
        <v>222</v>
      </c>
      <c r="AV18" s="29">
        <v>72</v>
      </c>
      <c r="AW18" s="30">
        <v>60</v>
      </c>
      <c r="AX18" s="31">
        <v>132</v>
      </c>
      <c r="AY18" s="29">
        <f t="shared" si="1"/>
        <v>4261</v>
      </c>
      <c r="AZ18" s="30">
        <f t="shared" si="2"/>
        <v>5426</v>
      </c>
      <c r="BA18" s="31">
        <f t="shared" si="3"/>
        <v>9687</v>
      </c>
      <c r="BB18" s="29">
        <f t="shared" si="4"/>
        <v>2237</v>
      </c>
      <c r="BC18" s="30">
        <f t="shared" si="5"/>
        <v>2897</v>
      </c>
      <c r="BD18" s="31">
        <f t="shared" si="6"/>
        <v>5134</v>
      </c>
      <c r="BE18" s="29">
        <f t="shared" si="7"/>
        <v>1350</v>
      </c>
      <c r="BF18" s="30">
        <f t="shared" si="8"/>
        <v>1788</v>
      </c>
      <c r="BG18" s="31">
        <f t="shared" si="9"/>
        <v>3138</v>
      </c>
    </row>
    <row r="19" spans="1:59" s="32" customFormat="1" ht="23.25">
      <c r="A19" s="151">
        <v>15</v>
      </c>
      <c r="B19" s="22" t="s">
        <v>45</v>
      </c>
      <c r="C19" s="33"/>
      <c r="D19" s="34"/>
      <c r="E19" s="35">
        <v>0</v>
      </c>
      <c r="F19" s="26">
        <v>2721</v>
      </c>
      <c r="G19" s="27">
        <v>3293</v>
      </c>
      <c r="H19" s="28">
        <v>6014</v>
      </c>
      <c r="I19" s="29">
        <v>680</v>
      </c>
      <c r="J19" s="30">
        <v>870</v>
      </c>
      <c r="K19" s="31">
        <v>1550</v>
      </c>
      <c r="L19" s="29">
        <v>722</v>
      </c>
      <c r="M19" s="30">
        <v>830</v>
      </c>
      <c r="N19" s="31">
        <v>1552</v>
      </c>
      <c r="O19" s="29">
        <v>628</v>
      </c>
      <c r="P19" s="30">
        <v>812</v>
      </c>
      <c r="Q19" s="31">
        <v>1440</v>
      </c>
      <c r="R19" s="29">
        <v>691</v>
      </c>
      <c r="S19" s="30">
        <v>781</v>
      </c>
      <c r="T19" s="31">
        <v>1472</v>
      </c>
      <c r="U19" s="29">
        <v>9950</v>
      </c>
      <c r="V19" s="30">
        <v>12733</v>
      </c>
      <c r="W19" s="31">
        <v>22683</v>
      </c>
      <c r="X19" s="29">
        <v>2960</v>
      </c>
      <c r="Y19" s="30">
        <v>3520</v>
      </c>
      <c r="Z19" s="31">
        <v>6480</v>
      </c>
      <c r="AA19" s="29">
        <v>2329</v>
      </c>
      <c r="AB19" s="30">
        <v>3016</v>
      </c>
      <c r="AC19" s="31">
        <v>5345</v>
      </c>
      <c r="AD19" s="29">
        <v>1622</v>
      </c>
      <c r="AE19" s="30">
        <v>2026</v>
      </c>
      <c r="AF19" s="31">
        <v>3648</v>
      </c>
      <c r="AG19" s="29">
        <v>1004</v>
      </c>
      <c r="AH19" s="30">
        <v>1484</v>
      </c>
      <c r="AI19" s="31">
        <v>2488</v>
      </c>
      <c r="AJ19" s="29">
        <v>896</v>
      </c>
      <c r="AK19" s="30">
        <v>1223</v>
      </c>
      <c r="AL19" s="31">
        <v>2119</v>
      </c>
      <c r="AM19" s="29">
        <v>563</v>
      </c>
      <c r="AN19" s="30">
        <v>841</v>
      </c>
      <c r="AO19" s="31">
        <v>1404</v>
      </c>
      <c r="AP19" s="29">
        <v>352</v>
      </c>
      <c r="AQ19" s="30">
        <v>415</v>
      </c>
      <c r="AR19" s="31">
        <v>767</v>
      </c>
      <c r="AS19" s="29">
        <v>202</v>
      </c>
      <c r="AT19" s="30">
        <v>182</v>
      </c>
      <c r="AU19" s="31">
        <v>384</v>
      </c>
      <c r="AV19" s="29">
        <v>22</v>
      </c>
      <c r="AW19" s="30">
        <v>26</v>
      </c>
      <c r="AX19" s="31">
        <v>48</v>
      </c>
      <c r="AY19" s="29">
        <v>5289</v>
      </c>
      <c r="AZ19" s="30">
        <v>6536</v>
      </c>
      <c r="BA19" s="31">
        <v>11825</v>
      </c>
      <c r="BB19" s="29">
        <v>2626</v>
      </c>
      <c r="BC19" s="30">
        <v>3510</v>
      </c>
      <c r="BD19" s="31">
        <v>6136</v>
      </c>
      <c r="BE19" s="29">
        <v>2035</v>
      </c>
      <c r="BF19" s="30">
        <v>2687</v>
      </c>
      <c r="BG19" s="31">
        <v>4722</v>
      </c>
    </row>
    <row r="20" spans="1:59" s="32" customFormat="1" ht="23.25">
      <c r="A20" s="21">
        <v>16</v>
      </c>
      <c r="B20" s="22" t="s">
        <v>46</v>
      </c>
      <c r="C20" s="33"/>
      <c r="D20" s="34"/>
      <c r="E20" s="35">
        <v>0</v>
      </c>
      <c r="F20" s="26">
        <v>1682</v>
      </c>
      <c r="G20" s="27">
        <v>2226</v>
      </c>
      <c r="H20" s="28">
        <v>3908</v>
      </c>
      <c r="I20" s="29">
        <v>437</v>
      </c>
      <c r="J20" s="30">
        <v>543</v>
      </c>
      <c r="K20" s="31">
        <v>980</v>
      </c>
      <c r="L20" s="29">
        <v>435</v>
      </c>
      <c r="M20" s="30">
        <v>538</v>
      </c>
      <c r="N20" s="31">
        <v>973</v>
      </c>
      <c r="O20" s="29">
        <v>431</v>
      </c>
      <c r="P20" s="30">
        <v>555</v>
      </c>
      <c r="Q20" s="31">
        <v>986</v>
      </c>
      <c r="R20" s="29">
        <v>379</v>
      </c>
      <c r="S20" s="30">
        <v>590</v>
      </c>
      <c r="T20" s="31">
        <v>969</v>
      </c>
      <c r="U20" s="29">
        <v>8650</v>
      </c>
      <c r="V20" s="30">
        <v>10921</v>
      </c>
      <c r="W20" s="31">
        <v>19571</v>
      </c>
      <c r="X20" s="29">
        <v>2116</v>
      </c>
      <c r="Y20" s="30">
        <v>2530</v>
      </c>
      <c r="Z20" s="31">
        <v>4646</v>
      </c>
      <c r="AA20" s="29">
        <v>1847</v>
      </c>
      <c r="AB20" s="30">
        <v>2380</v>
      </c>
      <c r="AC20" s="31">
        <v>4227</v>
      </c>
      <c r="AD20" s="29">
        <v>1460</v>
      </c>
      <c r="AE20" s="30">
        <v>1865</v>
      </c>
      <c r="AF20" s="31">
        <v>3325</v>
      </c>
      <c r="AG20" s="29">
        <v>1032</v>
      </c>
      <c r="AH20" s="30">
        <v>1388</v>
      </c>
      <c r="AI20" s="31">
        <v>2420</v>
      </c>
      <c r="AJ20" s="29">
        <v>838</v>
      </c>
      <c r="AK20" s="30">
        <v>1133</v>
      </c>
      <c r="AL20" s="31">
        <v>1971</v>
      </c>
      <c r="AM20" s="29">
        <v>651</v>
      </c>
      <c r="AN20" s="30">
        <v>762</v>
      </c>
      <c r="AO20" s="31">
        <v>1413</v>
      </c>
      <c r="AP20" s="29">
        <v>369</v>
      </c>
      <c r="AQ20" s="30">
        <v>499</v>
      </c>
      <c r="AR20" s="31">
        <v>868</v>
      </c>
      <c r="AS20" s="29">
        <v>211</v>
      </c>
      <c r="AT20" s="30">
        <v>240</v>
      </c>
      <c r="AU20" s="31">
        <v>451</v>
      </c>
      <c r="AV20" s="29">
        <v>126</v>
      </c>
      <c r="AW20" s="30">
        <v>124</v>
      </c>
      <c r="AX20" s="31">
        <v>250</v>
      </c>
      <c r="AY20" s="29">
        <v>3963</v>
      </c>
      <c r="AZ20" s="30">
        <v>4910</v>
      </c>
      <c r="BA20" s="31">
        <v>8873</v>
      </c>
      <c r="BB20" s="29">
        <v>2492</v>
      </c>
      <c r="BC20" s="30">
        <v>3253</v>
      </c>
      <c r="BD20" s="31">
        <v>5745</v>
      </c>
      <c r="BE20" s="29">
        <v>2195</v>
      </c>
      <c r="BF20" s="30">
        <v>2758</v>
      </c>
      <c r="BG20" s="31">
        <v>4953</v>
      </c>
    </row>
    <row r="21" spans="1:59" s="32" customFormat="1" ht="23.25">
      <c r="A21" s="21">
        <v>17</v>
      </c>
      <c r="B21" s="22" t="s">
        <v>47</v>
      </c>
      <c r="C21" s="33"/>
      <c r="D21" s="34"/>
      <c r="E21" s="35">
        <v>0</v>
      </c>
      <c r="F21" s="26">
        <f>I21+L21+O21+R21</f>
        <v>2318</v>
      </c>
      <c r="G21" s="27">
        <f>J21+M21+P21+S21</f>
        <v>3110</v>
      </c>
      <c r="H21" s="28">
        <f>F21+G21</f>
        <v>5428</v>
      </c>
      <c r="I21" s="29">
        <v>620</v>
      </c>
      <c r="J21" s="30">
        <v>796</v>
      </c>
      <c r="K21" s="31">
        <f>I21+J21</f>
        <v>1416</v>
      </c>
      <c r="L21" s="29">
        <v>568</v>
      </c>
      <c r="M21" s="30">
        <v>793</v>
      </c>
      <c r="N21" s="31">
        <f>L21+M21</f>
        <v>1361</v>
      </c>
      <c r="O21" s="29">
        <v>552</v>
      </c>
      <c r="P21" s="30">
        <v>747</v>
      </c>
      <c r="Q21" s="31">
        <f>O21+P21</f>
        <v>1299</v>
      </c>
      <c r="R21" s="29">
        <v>578</v>
      </c>
      <c r="S21" s="30">
        <v>774</v>
      </c>
      <c r="T21" s="31">
        <f>R21+S21</f>
        <v>1352</v>
      </c>
      <c r="U21" s="29">
        <f>X21+AA21+AD21+AG21+AJ21+AM21+AP21+AS21+AV21</f>
        <v>8312</v>
      </c>
      <c r="V21" s="30">
        <f>Y21+AB21+AE21+AH21+AK21+AN21+AQ21+AT21+AW21</f>
        <v>11912</v>
      </c>
      <c r="W21" s="31">
        <f>U21+V21</f>
        <v>20224</v>
      </c>
      <c r="X21" s="29">
        <v>2615</v>
      </c>
      <c r="Y21" s="30">
        <v>3515</v>
      </c>
      <c r="Z21" s="31">
        <f>X21+Y21</f>
        <v>6130</v>
      </c>
      <c r="AA21" s="29">
        <v>2105</v>
      </c>
      <c r="AB21" s="30">
        <v>2925</v>
      </c>
      <c r="AC21" s="31">
        <f>AA21+AB21</f>
        <v>5030</v>
      </c>
      <c r="AD21" s="29">
        <v>1454</v>
      </c>
      <c r="AE21" s="30">
        <v>2024</v>
      </c>
      <c r="AF21" s="31">
        <f>AD21+AE21</f>
        <v>3478</v>
      </c>
      <c r="AG21" s="29">
        <v>925</v>
      </c>
      <c r="AH21" s="30">
        <v>1426</v>
      </c>
      <c r="AI21" s="31">
        <f>AG21+AH21</f>
        <v>2351</v>
      </c>
      <c r="AJ21" s="29">
        <v>659</v>
      </c>
      <c r="AK21" s="30">
        <v>982</v>
      </c>
      <c r="AL21" s="31">
        <f>AJ21+AK21</f>
        <v>1641</v>
      </c>
      <c r="AM21" s="29">
        <v>328</v>
      </c>
      <c r="AN21" s="30">
        <v>636</v>
      </c>
      <c r="AO21" s="31">
        <f>AM21+AN21</f>
        <v>964</v>
      </c>
      <c r="AP21" s="29">
        <v>140</v>
      </c>
      <c r="AQ21" s="30">
        <v>265</v>
      </c>
      <c r="AR21" s="31">
        <f>AP21+AQ21</f>
        <v>405</v>
      </c>
      <c r="AS21" s="29">
        <v>51</v>
      </c>
      <c r="AT21" s="30">
        <v>92</v>
      </c>
      <c r="AU21" s="31">
        <f>AS21+AT21</f>
        <v>143</v>
      </c>
      <c r="AV21" s="29">
        <v>35</v>
      </c>
      <c r="AW21" s="30">
        <v>47</v>
      </c>
      <c r="AX21" s="31">
        <f>AV21+AW21</f>
        <v>82</v>
      </c>
      <c r="AY21" s="29">
        <f t="shared" si="1"/>
        <v>4720</v>
      </c>
      <c r="AZ21" s="30">
        <f t="shared" si="2"/>
        <v>6440</v>
      </c>
      <c r="BA21" s="31">
        <f t="shared" si="3"/>
        <v>11160</v>
      </c>
      <c r="BB21" s="29">
        <f t="shared" si="4"/>
        <v>2379</v>
      </c>
      <c r="BC21" s="30">
        <f t="shared" si="5"/>
        <v>3450</v>
      </c>
      <c r="BD21" s="31">
        <f t="shared" si="6"/>
        <v>5829</v>
      </c>
      <c r="BE21" s="29">
        <f t="shared" si="7"/>
        <v>1213</v>
      </c>
      <c r="BF21" s="30">
        <f t="shared" si="8"/>
        <v>2022</v>
      </c>
      <c r="BG21" s="31">
        <f t="shared" si="9"/>
        <v>3235</v>
      </c>
    </row>
    <row r="22" spans="1:59" s="32" customFormat="1" ht="23.25">
      <c r="A22" s="21">
        <v>18</v>
      </c>
      <c r="B22" s="22" t="s">
        <v>49</v>
      </c>
      <c r="C22" s="33"/>
      <c r="D22" s="34"/>
      <c r="E22" s="35">
        <v>0</v>
      </c>
      <c r="F22" s="26">
        <v>2797</v>
      </c>
      <c r="G22" s="27">
        <v>3529</v>
      </c>
      <c r="H22" s="28">
        <v>6326</v>
      </c>
      <c r="I22" s="29">
        <v>708</v>
      </c>
      <c r="J22" s="30">
        <v>927</v>
      </c>
      <c r="K22" s="31">
        <v>1635</v>
      </c>
      <c r="L22" s="29">
        <v>749</v>
      </c>
      <c r="M22" s="30">
        <v>914</v>
      </c>
      <c r="N22" s="31">
        <v>1663</v>
      </c>
      <c r="O22" s="29">
        <v>685</v>
      </c>
      <c r="P22" s="30">
        <v>861</v>
      </c>
      <c r="Q22" s="31">
        <v>1546</v>
      </c>
      <c r="R22" s="29">
        <v>655</v>
      </c>
      <c r="S22" s="30">
        <v>827</v>
      </c>
      <c r="T22" s="31">
        <v>1482</v>
      </c>
      <c r="U22" s="29">
        <v>9202</v>
      </c>
      <c r="V22" s="30">
        <v>13307</v>
      </c>
      <c r="W22" s="31">
        <v>22509</v>
      </c>
      <c r="X22" s="29">
        <v>2803</v>
      </c>
      <c r="Y22" s="30">
        <v>3869</v>
      </c>
      <c r="Z22" s="31">
        <v>6672</v>
      </c>
      <c r="AA22" s="29">
        <v>2334</v>
      </c>
      <c r="AB22" s="30">
        <v>3304</v>
      </c>
      <c r="AC22" s="31">
        <v>5638</v>
      </c>
      <c r="AD22" s="29">
        <v>1689</v>
      </c>
      <c r="AE22" s="30">
        <v>2403</v>
      </c>
      <c r="AF22" s="31">
        <v>4092</v>
      </c>
      <c r="AG22" s="29">
        <v>1122</v>
      </c>
      <c r="AH22" s="30">
        <v>1618</v>
      </c>
      <c r="AI22" s="31">
        <v>2740</v>
      </c>
      <c r="AJ22" s="29">
        <v>721</v>
      </c>
      <c r="AK22" s="30">
        <v>1126</v>
      </c>
      <c r="AL22" s="31">
        <v>1847</v>
      </c>
      <c r="AM22" s="29">
        <v>334</v>
      </c>
      <c r="AN22" s="30">
        <v>631</v>
      </c>
      <c r="AO22" s="31">
        <v>965</v>
      </c>
      <c r="AP22" s="29">
        <v>134</v>
      </c>
      <c r="AQ22" s="30">
        <v>237</v>
      </c>
      <c r="AR22" s="31">
        <v>371</v>
      </c>
      <c r="AS22" s="29">
        <v>39</v>
      </c>
      <c r="AT22" s="30">
        <v>88</v>
      </c>
      <c r="AU22" s="31">
        <v>127</v>
      </c>
      <c r="AV22" s="29">
        <v>26</v>
      </c>
      <c r="AW22" s="30">
        <v>31</v>
      </c>
      <c r="AX22" s="31">
        <v>57</v>
      </c>
      <c r="AY22" s="29">
        <f t="shared" si="1"/>
        <v>5137</v>
      </c>
      <c r="AZ22" s="30">
        <f t="shared" si="2"/>
        <v>7173</v>
      </c>
      <c r="BA22" s="31">
        <f t="shared" si="3"/>
        <v>12310</v>
      </c>
      <c r="BB22" s="29">
        <f t="shared" si="4"/>
        <v>2811</v>
      </c>
      <c r="BC22" s="30">
        <f t="shared" si="5"/>
        <v>4021</v>
      </c>
      <c r="BD22" s="31">
        <f t="shared" si="6"/>
        <v>6832</v>
      </c>
      <c r="BE22" s="29">
        <f t="shared" si="7"/>
        <v>1254</v>
      </c>
      <c r="BF22" s="30">
        <f t="shared" si="8"/>
        <v>2113</v>
      </c>
      <c r="BG22" s="31">
        <f t="shared" si="9"/>
        <v>3367</v>
      </c>
    </row>
    <row r="23" spans="1:59" s="32" customFormat="1" ht="23.25">
      <c r="A23" s="21">
        <v>19</v>
      </c>
      <c r="B23" s="22" t="s">
        <v>48</v>
      </c>
      <c r="C23" s="33"/>
      <c r="D23" s="34"/>
      <c r="E23" s="35">
        <v>0</v>
      </c>
      <c r="F23" s="26">
        <v>2554</v>
      </c>
      <c r="G23" s="27">
        <v>3134</v>
      </c>
      <c r="H23" s="28">
        <v>5688</v>
      </c>
      <c r="I23" s="29">
        <v>697</v>
      </c>
      <c r="J23" s="30">
        <v>786</v>
      </c>
      <c r="K23" s="31">
        <v>1483</v>
      </c>
      <c r="L23" s="29">
        <v>636</v>
      </c>
      <c r="M23" s="30">
        <v>848</v>
      </c>
      <c r="N23" s="31">
        <v>1484</v>
      </c>
      <c r="O23" s="29">
        <v>581</v>
      </c>
      <c r="P23" s="30">
        <v>768</v>
      </c>
      <c r="Q23" s="31">
        <v>1349</v>
      </c>
      <c r="R23" s="29">
        <v>640</v>
      </c>
      <c r="S23" s="30">
        <v>732</v>
      </c>
      <c r="T23" s="31">
        <v>1372</v>
      </c>
      <c r="U23" s="29">
        <v>7914</v>
      </c>
      <c r="V23" s="30">
        <v>10634</v>
      </c>
      <c r="W23" s="31">
        <v>18548</v>
      </c>
      <c r="X23" s="29">
        <v>2540</v>
      </c>
      <c r="Y23" s="30">
        <v>3237</v>
      </c>
      <c r="Z23" s="31">
        <v>5777</v>
      </c>
      <c r="AA23" s="29">
        <v>1910</v>
      </c>
      <c r="AB23" s="30">
        <v>2641</v>
      </c>
      <c r="AC23" s="31">
        <v>4551</v>
      </c>
      <c r="AD23" s="29">
        <v>1345</v>
      </c>
      <c r="AE23" s="30">
        <v>1727</v>
      </c>
      <c r="AF23" s="31">
        <v>3072</v>
      </c>
      <c r="AG23" s="29">
        <v>874</v>
      </c>
      <c r="AH23" s="30">
        <v>1231</v>
      </c>
      <c r="AI23" s="31">
        <v>2105</v>
      </c>
      <c r="AJ23" s="29">
        <v>665</v>
      </c>
      <c r="AK23" s="30">
        <v>931</v>
      </c>
      <c r="AL23" s="31">
        <v>1596</v>
      </c>
      <c r="AM23" s="29">
        <v>334</v>
      </c>
      <c r="AN23" s="30">
        <v>500</v>
      </c>
      <c r="AO23" s="31">
        <v>834</v>
      </c>
      <c r="AP23" s="29">
        <v>147</v>
      </c>
      <c r="AQ23" s="30">
        <v>242</v>
      </c>
      <c r="AR23" s="31">
        <v>389</v>
      </c>
      <c r="AS23" s="29">
        <v>64</v>
      </c>
      <c r="AT23" s="30">
        <v>88</v>
      </c>
      <c r="AU23" s="31">
        <v>152</v>
      </c>
      <c r="AV23" s="29">
        <v>35</v>
      </c>
      <c r="AW23" s="30">
        <v>37</v>
      </c>
      <c r="AX23" s="31">
        <v>72</v>
      </c>
      <c r="AY23" s="29">
        <f t="shared" si="1"/>
        <v>4450</v>
      </c>
      <c r="AZ23" s="30">
        <f t="shared" si="2"/>
        <v>5878</v>
      </c>
      <c r="BA23" s="31">
        <f t="shared" si="3"/>
        <v>10328</v>
      </c>
      <c r="BB23" s="29">
        <f t="shared" si="4"/>
        <v>2219</v>
      </c>
      <c r="BC23" s="30">
        <f t="shared" si="5"/>
        <v>2958</v>
      </c>
      <c r="BD23" s="31">
        <f t="shared" si="6"/>
        <v>5177</v>
      </c>
      <c r="BE23" s="29">
        <f t="shared" si="7"/>
        <v>1245</v>
      </c>
      <c r="BF23" s="30">
        <f t="shared" si="8"/>
        <v>1798</v>
      </c>
      <c r="BG23" s="31">
        <f t="shared" si="9"/>
        <v>3043</v>
      </c>
    </row>
    <row r="24" spans="1:59" s="32" customFormat="1" ht="23.25">
      <c r="A24" s="21">
        <v>20</v>
      </c>
      <c r="B24" s="22" t="s">
        <v>73</v>
      </c>
      <c r="C24" s="33"/>
      <c r="D24" s="34"/>
      <c r="E24" s="35">
        <v>0</v>
      </c>
      <c r="F24" s="26">
        <v>3995</v>
      </c>
      <c r="G24" s="27">
        <v>4945</v>
      </c>
      <c r="H24" s="28">
        <v>8940</v>
      </c>
      <c r="I24" s="29">
        <v>1036</v>
      </c>
      <c r="J24" s="30">
        <v>1266</v>
      </c>
      <c r="K24" s="31">
        <v>2302</v>
      </c>
      <c r="L24" s="29">
        <v>1004</v>
      </c>
      <c r="M24" s="30">
        <v>1256</v>
      </c>
      <c r="N24" s="31">
        <v>2260</v>
      </c>
      <c r="O24" s="29">
        <v>995</v>
      </c>
      <c r="P24" s="30">
        <v>1223</v>
      </c>
      <c r="Q24" s="31">
        <v>2218</v>
      </c>
      <c r="R24" s="29">
        <v>960</v>
      </c>
      <c r="S24" s="30">
        <v>1200</v>
      </c>
      <c r="T24" s="31">
        <v>2160</v>
      </c>
      <c r="U24" s="29">
        <v>14793</v>
      </c>
      <c r="V24" s="30">
        <v>20890</v>
      </c>
      <c r="W24" s="31">
        <v>35683</v>
      </c>
      <c r="X24" s="29">
        <v>4238</v>
      </c>
      <c r="Y24" s="30">
        <v>5632</v>
      </c>
      <c r="Z24" s="31">
        <v>9870</v>
      </c>
      <c r="AA24" s="29">
        <v>3542</v>
      </c>
      <c r="AB24" s="30">
        <v>4758</v>
      </c>
      <c r="AC24" s="31">
        <v>8300</v>
      </c>
      <c r="AD24" s="29">
        <v>2517</v>
      </c>
      <c r="AE24" s="30">
        <v>3588</v>
      </c>
      <c r="AF24" s="31">
        <v>6105</v>
      </c>
      <c r="AG24" s="29">
        <v>1673</v>
      </c>
      <c r="AH24" s="30">
        <v>2670</v>
      </c>
      <c r="AI24" s="31">
        <v>4343</v>
      </c>
      <c r="AJ24" s="29">
        <v>1407</v>
      </c>
      <c r="AK24" s="30">
        <v>2071</v>
      </c>
      <c r="AL24" s="31">
        <v>3478</v>
      </c>
      <c r="AM24" s="29">
        <v>815</v>
      </c>
      <c r="AN24" s="30">
        <v>1279</v>
      </c>
      <c r="AO24" s="31">
        <v>2094</v>
      </c>
      <c r="AP24" s="29">
        <v>333</v>
      </c>
      <c r="AQ24" s="30">
        <v>574</v>
      </c>
      <c r="AR24" s="31">
        <v>907</v>
      </c>
      <c r="AS24" s="29">
        <v>148</v>
      </c>
      <c r="AT24" s="30">
        <v>217</v>
      </c>
      <c r="AU24" s="31">
        <v>365</v>
      </c>
      <c r="AV24" s="29">
        <v>120</v>
      </c>
      <c r="AW24" s="30">
        <v>101</v>
      </c>
      <c r="AX24" s="31">
        <v>221</v>
      </c>
      <c r="AY24" s="29">
        <f t="shared" si="1"/>
        <v>7780</v>
      </c>
      <c r="AZ24" s="30">
        <f t="shared" si="2"/>
        <v>10390</v>
      </c>
      <c r="BA24" s="31">
        <f t="shared" si="3"/>
        <v>18170</v>
      </c>
      <c r="BB24" s="29">
        <f t="shared" si="4"/>
        <v>4190</v>
      </c>
      <c r="BC24" s="30">
        <f t="shared" si="5"/>
        <v>6258</v>
      </c>
      <c r="BD24" s="31">
        <f t="shared" si="6"/>
        <v>10448</v>
      </c>
      <c r="BE24" s="29">
        <f t="shared" si="7"/>
        <v>2823</v>
      </c>
      <c r="BF24" s="30">
        <f t="shared" si="8"/>
        <v>4242</v>
      </c>
      <c r="BG24" s="31">
        <f t="shared" si="9"/>
        <v>7065</v>
      </c>
    </row>
    <row r="25" spans="1:59" s="32" customFormat="1" ht="23.25">
      <c r="A25" s="21">
        <v>21</v>
      </c>
      <c r="B25" s="22" t="s">
        <v>72</v>
      </c>
      <c r="C25" s="33"/>
      <c r="D25" s="34"/>
      <c r="E25" s="35">
        <v>0</v>
      </c>
      <c r="F25" s="26">
        <v>3516</v>
      </c>
      <c r="G25" s="27">
        <v>4379</v>
      </c>
      <c r="H25" s="28">
        <v>7895</v>
      </c>
      <c r="I25" s="29">
        <v>860</v>
      </c>
      <c r="J25" s="30">
        <v>1105</v>
      </c>
      <c r="K25" s="31">
        <v>1965</v>
      </c>
      <c r="L25" s="29">
        <v>890</v>
      </c>
      <c r="M25" s="30">
        <v>1093</v>
      </c>
      <c r="N25" s="31">
        <v>1983</v>
      </c>
      <c r="O25" s="29">
        <v>846</v>
      </c>
      <c r="P25" s="30">
        <v>1130</v>
      </c>
      <c r="Q25" s="31">
        <v>1976</v>
      </c>
      <c r="R25" s="29">
        <v>920</v>
      </c>
      <c r="S25" s="30">
        <v>1051</v>
      </c>
      <c r="T25" s="31">
        <v>1971</v>
      </c>
      <c r="U25" s="29">
        <v>14294</v>
      </c>
      <c r="V25" s="30">
        <v>19026</v>
      </c>
      <c r="W25" s="31">
        <v>33320</v>
      </c>
      <c r="X25" s="29">
        <v>3972</v>
      </c>
      <c r="Y25" s="30">
        <v>5152</v>
      </c>
      <c r="Z25" s="31">
        <v>9124</v>
      </c>
      <c r="AA25" s="29">
        <v>3285</v>
      </c>
      <c r="AB25" s="30">
        <v>4504</v>
      </c>
      <c r="AC25" s="31">
        <v>7789</v>
      </c>
      <c r="AD25" s="29">
        <v>2264</v>
      </c>
      <c r="AE25" s="30">
        <v>3239</v>
      </c>
      <c r="AF25" s="31">
        <v>5503</v>
      </c>
      <c r="AG25" s="29">
        <v>1785</v>
      </c>
      <c r="AH25" s="30">
        <v>2286</v>
      </c>
      <c r="AI25" s="31">
        <v>4071</v>
      </c>
      <c r="AJ25" s="29">
        <v>1344</v>
      </c>
      <c r="AK25" s="30">
        <v>1864</v>
      </c>
      <c r="AL25" s="31">
        <v>3208</v>
      </c>
      <c r="AM25" s="29">
        <v>861</v>
      </c>
      <c r="AN25" s="30">
        <v>1125</v>
      </c>
      <c r="AO25" s="31">
        <v>1986</v>
      </c>
      <c r="AP25" s="29">
        <v>428</v>
      </c>
      <c r="AQ25" s="30">
        <v>547</v>
      </c>
      <c r="AR25" s="31">
        <v>975</v>
      </c>
      <c r="AS25" s="29">
        <v>249</v>
      </c>
      <c r="AT25" s="30">
        <v>223</v>
      </c>
      <c r="AU25" s="31">
        <v>472</v>
      </c>
      <c r="AV25" s="29">
        <v>106</v>
      </c>
      <c r="AW25" s="30">
        <v>86</v>
      </c>
      <c r="AX25" s="31">
        <v>192</v>
      </c>
      <c r="AY25" s="29">
        <f t="shared" si="1"/>
        <v>7257</v>
      </c>
      <c r="AZ25" s="30">
        <f t="shared" si="2"/>
        <v>9656</v>
      </c>
      <c r="BA25" s="31">
        <f t="shared" si="3"/>
        <v>16913</v>
      </c>
      <c r="BB25" s="29">
        <f t="shared" si="4"/>
        <v>4049</v>
      </c>
      <c r="BC25" s="30">
        <f t="shared" si="5"/>
        <v>5525</v>
      </c>
      <c r="BD25" s="31">
        <f t="shared" si="6"/>
        <v>9574</v>
      </c>
      <c r="BE25" s="29">
        <f t="shared" si="7"/>
        <v>2988</v>
      </c>
      <c r="BF25" s="30">
        <f t="shared" si="8"/>
        <v>3845</v>
      </c>
      <c r="BG25" s="31">
        <f t="shared" si="9"/>
        <v>6833</v>
      </c>
    </row>
    <row r="26" spans="1:59" s="32" customFormat="1" ht="23.25">
      <c r="A26" s="21">
        <v>22</v>
      </c>
      <c r="B26" s="22" t="s">
        <v>71</v>
      </c>
      <c r="C26" s="33"/>
      <c r="D26" s="34"/>
      <c r="E26" s="35">
        <v>0</v>
      </c>
      <c r="F26" s="26">
        <v>2901</v>
      </c>
      <c r="G26" s="27">
        <v>3887</v>
      </c>
      <c r="H26" s="28">
        <v>6788</v>
      </c>
      <c r="I26" s="29">
        <v>749</v>
      </c>
      <c r="J26" s="30">
        <v>947</v>
      </c>
      <c r="K26" s="31">
        <v>1696</v>
      </c>
      <c r="L26" s="29">
        <v>679</v>
      </c>
      <c r="M26" s="30">
        <v>980</v>
      </c>
      <c r="N26" s="31">
        <v>1659</v>
      </c>
      <c r="O26" s="29">
        <v>733</v>
      </c>
      <c r="P26" s="30">
        <v>993</v>
      </c>
      <c r="Q26" s="31">
        <v>1726</v>
      </c>
      <c r="R26" s="29">
        <v>740</v>
      </c>
      <c r="S26" s="30">
        <v>967</v>
      </c>
      <c r="T26" s="31">
        <v>1707</v>
      </c>
      <c r="U26" s="29">
        <v>10497</v>
      </c>
      <c r="V26" s="30">
        <v>15438</v>
      </c>
      <c r="W26" s="31">
        <v>25935</v>
      </c>
      <c r="X26" s="29">
        <v>3200</v>
      </c>
      <c r="Y26" s="30">
        <v>4430</v>
      </c>
      <c r="Z26" s="31">
        <v>7630</v>
      </c>
      <c r="AA26" s="29">
        <v>2713</v>
      </c>
      <c r="AB26" s="30">
        <v>3969</v>
      </c>
      <c r="AC26" s="31">
        <v>6682</v>
      </c>
      <c r="AD26" s="29">
        <v>1985</v>
      </c>
      <c r="AE26" s="30">
        <v>2989</v>
      </c>
      <c r="AF26" s="31">
        <v>4974</v>
      </c>
      <c r="AG26" s="29">
        <v>1281</v>
      </c>
      <c r="AH26" s="30">
        <v>1806</v>
      </c>
      <c r="AI26" s="31">
        <v>3087</v>
      </c>
      <c r="AJ26" s="29">
        <v>808</v>
      </c>
      <c r="AK26" s="30">
        <v>1160</v>
      </c>
      <c r="AL26" s="31">
        <v>1968</v>
      </c>
      <c r="AM26" s="29">
        <v>337</v>
      </c>
      <c r="AN26" s="30">
        <v>637</v>
      </c>
      <c r="AO26" s="31">
        <v>974</v>
      </c>
      <c r="AP26" s="29">
        <v>133</v>
      </c>
      <c r="AQ26" s="30">
        <v>326</v>
      </c>
      <c r="AR26" s="31">
        <v>459</v>
      </c>
      <c r="AS26" s="29">
        <v>25</v>
      </c>
      <c r="AT26" s="30">
        <v>104</v>
      </c>
      <c r="AU26" s="31">
        <v>129</v>
      </c>
      <c r="AV26" s="29">
        <v>15</v>
      </c>
      <c r="AW26" s="30">
        <v>17</v>
      </c>
      <c r="AX26" s="31">
        <v>32</v>
      </c>
      <c r="AY26" s="29">
        <f t="shared" si="1"/>
        <v>5913</v>
      </c>
      <c r="AZ26" s="30">
        <f t="shared" si="2"/>
        <v>8399</v>
      </c>
      <c r="BA26" s="31">
        <f t="shared" si="3"/>
        <v>14312</v>
      </c>
      <c r="BB26" s="29">
        <f t="shared" si="4"/>
        <v>3266</v>
      </c>
      <c r="BC26" s="30">
        <f t="shared" si="5"/>
        <v>4795</v>
      </c>
      <c r="BD26" s="31">
        <f t="shared" si="6"/>
        <v>8061</v>
      </c>
      <c r="BE26" s="29">
        <f t="shared" si="7"/>
        <v>1318</v>
      </c>
      <c r="BF26" s="30">
        <f t="shared" si="8"/>
        <v>2244</v>
      </c>
      <c r="BG26" s="31">
        <f t="shared" si="9"/>
        <v>3562</v>
      </c>
    </row>
    <row r="27" spans="1:59" s="32" customFormat="1" ht="23.25">
      <c r="A27" s="21">
        <v>23</v>
      </c>
      <c r="B27" s="22" t="s">
        <v>70</v>
      </c>
      <c r="C27" s="33"/>
      <c r="D27" s="34"/>
      <c r="E27" s="35">
        <v>0</v>
      </c>
      <c r="F27" s="26">
        <v>2864</v>
      </c>
      <c r="G27" s="27">
        <v>3629</v>
      </c>
      <c r="H27" s="28">
        <v>6493</v>
      </c>
      <c r="I27" s="29">
        <v>725</v>
      </c>
      <c r="J27" s="30">
        <v>939</v>
      </c>
      <c r="K27" s="31">
        <v>1664</v>
      </c>
      <c r="L27" s="29">
        <v>729</v>
      </c>
      <c r="M27" s="30">
        <v>928</v>
      </c>
      <c r="N27" s="31">
        <v>1657</v>
      </c>
      <c r="O27" s="29">
        <v>704</v>
      </c>
      <c r="P27" s="30">
        <v>879</v>
      </c>
      <c r="Q27" s="31">
        <v>1583</v>
      </c>
      <c r="R27" s="29">
        <v>706</v>
      </c>
      <c r="S27" s="30">
        <v>883</v>
      </c>
      <c r="T27" s="31">
        <v>1589</v>
      </c>
      <c r="U27" s="29">
        <v>9647</v>
      </c>
      <c r="V27" s="30">
        <v>13451</v>
      </c>
      <c r="W27" s="31">
        <v>23098</v>
      </c>
      <c r="X27" s="29">
        <v>2943</v>
      </c>
      <c r="Y27" s="30">
        <v>3952</v>
      </c>
      <c r="Z27" s="31">
        <v>6895</v>
      </c>
      <c r="AA27" s="29">
        <v>2399</v>
      </c>
      <c r="AB27" s="30">
        <v>3337</v>
      </c>
      <c r="AC27" s="31">
        <v>5736</v>
      </c>
      <c r="AD27" s="29">
        <v>1732</v>
      </c>
      <c r="AE27" s="30">
        <v>2483</v>
      </c>
      <c r="AF27" s="31">
        <v>4215</v>
      </c>
      <c r="AG27" s="29">
        <v>1235</v>
      </c>
      <c r="AH27" s="30">
        <v>1644</v>
      </c>
      <c r="AI27" s="31">
        <v>2879</v>
      </c>
      <c r="AJ27" s="29">
        <v>773</v>
      </c>
      <c r="AK27" s="30">
        <v>1140</v>
      </c>
      <c r="AL27" s="31">
        <v>1913</v>
      </c>
      <c r="AM27" s="29">
        <v>368</v>
      </c>
      <c r="AN27" s="30">
        <v>535</v>
      </c>
      <c r="AO27" s="31">
        <v>903</v>
      </c>
      <c r="AP27" s="29">
        <v>134</v>
      </c>
      <c r="AQ27" s="30">
        <v>263</v>
      </c>
      <c r="AR27" s="31">
        <v>397</v>
      </c>
      <c r="AS27" s="29">
        <v>51</v>
      </c>
      <c r="AT27" s="30">
        <v>77</v>
      </c>
      <c r="AU27" s="31">
        <v>128</v>
      </c>
      <c r="AV27" s="29">
        <v>12</v>
      </c>
      <c r="AW27" s="30">
        <v>20</v>
      </c>
      <c r="AX27" s="31">
        <v>32</v>
      </c>
      <c r="AY27" s="29">
        <f t="shared" si="1"/>
        <v>5342</v>
      </c>
      <c r="AZ27" s="30">
        <f t="shared" si="2"/>
        <v>7289</v>
      </c>
      <c r="BA27" s="31">
        <f t="shared" si="3"/>
        <v>12631</v>
      </c>
      <c r="BB27" s="29">
        <f t="shared" si="4"/>
        <v>2967</v>
      </c>
      <c r="BC27" s="30">
        <f t="shared" si="5"/>
        <v>4127</v>
      </c>
      <c r="BD27" s="31">
        <f t="shared" si="6"/>
        <v>7094</v>
      </c>
      <c r="BE27" s="29">
        <f t="shared" si="7"/>
        <v>1338</v>
      </c>
      <c r="BF27" s="30">
        <f t="shared" si="8"/>
        <v>2035</v>
      </c>
      <c r="BG27" s="31">
        <f t="shared" si="9"/>
        <v>3373</v>
      </c>
    </row>
    <row r="28" spans="1:59" s="32" customFormat="1" ht="23.25">
      <c r="A28" s="21">
        <v>24</v>
      </c>
      <c r="B28" s="22" t="s">
        <v>69</v>
      </c>
      <c r="C28" s="33"/>
      <c r="D28" s="34"/>
      <c r="E28" s="35">
        <v>0</v>
      </c>
      <c r="F28" s="26">
        <v>4603</v>
      </c>
      <c r="G28" s="27">
        <v>5526</v>
      </c>
      <c r="H28" s="28">
        <v>10129</v>
      </c>
      <c r="I28" s="29">
        <v>1250</v>
      </c>
      <c r="J28" s="30">
        <v>1484</v>
      </c>
      <c r="K28" s="31">
        <v>2734</v>
      </c>
      <c r="L28" s="29">
        <v>1162</v>
      </c>
      <c r="M28" s="30">
        <v>1358</v>
      </c>
      <c r="N28" s="31">
        <v>2520</v>
      </c>
      <c r="O28" s="29">
        <v>1104</v>
      </c>
      <c r="P28" s="30">
        <v>1327</v>
      </c>
      <c r="Q28" s="31">
        <v>2431</v>
      </c>
      <c r="R28" s="29">
        <v>1087</v>
      </c>
      <c r="S28" s="30">
        <v>1357</v>
      </c>
      <c r="T28" s="31">
        <v>2444</v>
      </c>
      <c r="U28" s="29">
        <v>11584</v>
      </c>
      <c r="V28" s="30">
        <v>16099</v>
      </c>
      <c r="W28" s="31">
        <v>27683</v>
      </c>
      <c r="X28" s="29">
        <v>4186</v>
      </c>
      <c r="Y28" s="30">
        <v>5993</v>
      </c>
      <c r="Z28" s="31">
        <v>10179</v>
      </c>
      <c r="AA28" s="29">
        <v>2918</v>
      </c>
      <c r="AB28" s="30">
        <v>4030</v>
      </c>
      <c r="AC28" s="31">
        <v>6948</v>
      </c>
      <c r="AD28" s="29">
        <v>1874</v>
      </c>
      <c r="AE28" s="30">
        <v>2439</v>
      </c>
      <c r="AF28" s="31">
        <v>4313</v>
      </c>
      <c r="AG28" s="29">
        <v>1222</v>
      </c>
      <c r="AH28" s="30">
        <v>1582</v>
      </c>
      <c r="AI28" s="31">
        <v>2804</v>
      </c>
      <c r="AJ28" s="29">
        <v>758</v>
      </c>
      <c r="AK28" s="30">
        <v>1187</v>
      </c>
      <c r="AL28" s="31">
        <v>1945</v>
      </c>
      <c r="AM28" s="29">
        <v>421</v>
      </c>
      <c r="AN28" s="30">
        <v>560</v>
      </c>
      <c r="AO28" s="31">
        <v>981</v>
      </c>
      <c r="AP28" s="29">
        <v>134</v>
      </c>
      <c r="AQ28" s="30">
        <v>226</v>
      </c>
      <c r="AR28" s="31">
        <v>360</v>
      </c>
      <c r="AS28" s="29">
        <v>57</v>
      </c>
      <c r="AT28" s="30">
        <v>58</v>
      </c>
      <c r="AU28" s="31">
        <v>115</v>
      </c>
      <c r="AV28" s="29">
        <v>14</v>
      </c>
      <c r="AW28" s="30">
        <v>24</v>
      </c>
      <c r="AX28" s="31">
        <v>38</v>
      </c>
      <c r="AY28" s="29">
        <f t="shared" si="1"/>
        <v>7104</v>
      </c>
      <c r="AZ28" s="30">
        <f t="shared" si="2"/>
        <v>10023</v>
      </c>
      <c r="BA28" s="31">
        <f t="shared" si="3"/>
        <v>17127</v>
      </c>
      <c r="BB28" s="29">
        <f t="shared" si="4"/>
        <v>3096</v>
      </c>
      <c r="BC28" s="30">
        <f t="shared" si="5"/>
        <v>4021</v>
      </c>
      <c r="BD28" s="31">
        <f t="shared" si="6"/>
        <v>7117</v>
      </c>
      <c r="BE28" s="29">
        <f t="shared" si="7"/>
        <v>1384</v>
      </c>
      <c r="BF28" s="30">
        <f t="shared" si="8"/>
        <v>2055</v>
      </c>
      <c r="BG28" s="31">
        <f t="shared" si="9"/>
        <v>3439</v>
      </c>
    </row>
    <row r="29" spans="1:59" s="32" customFormat="1" ht="23.25">
      <c r="A29" s="21">
        <v>25</v>
      </c>
      <c r="B29" s="22" t="s">
        <v>68</v>
      </c>
      <c r="C29" s="33"/>
      <c r="D29" s="34"/>
      <c r="E29" s="35">
        <v>0</v>
      </c>
      <c r="F29" s="26">
        <v>5632</v>
      </c>
      <c r="G29" s="27">
        <v>6734</v>
      </c>
      <c r="H29" s="28">
        <v>12366</v>
      </c>
      <c r="I29" s="29">
        <v>1501</v>
      </c>
      <c r="J29" s="30">
        <v>1720</v>
      </c>
      <c r="K29" s="31">
        <v>3221</v>
      </c>
      <c r="L29" s="29">
        <v>1449</v>
      </c>
      <c r="M29" s="30">
        <v>1726</v>
      </c>
      <c r="N29" s="31">
        <v>3175</v>
      </c>
      <c r="O29" s="29">
        <v>1353</v>
      </c>
      <c r="P29" s="30">
        <v>1669</v>
      </c>
      <c r="Q29" s="31">
        <v>3022</v>
      </c>
      <c r="R29" s="29">
        <v>1329</v>
      </c>
      <c r="S29" s="30">
        <v>1619</v>
      </c>
      <c r="T29" s="31">
        <v>2948</v>
      </c>
      <c r="U29" s="29">
        <v>13708</v>
      </c>
      <c r="V29" s="30">
        <v>19137</v>
      </c>
      <c r="W29" s="31">
        <v>32845</v>
      </c>
      <c r="X29" s="29">
        <v>4971</v>
      </c>
      <c r="Y29" s="30">
        <v>6472</v>
      </c>
      <c r="Z29" s="31">
        <v>11443</v>
      </c>
      <c r="AA29" s="29">
        <v>3363</v>
      </c>
      <c r="AB29" s="30">
        <v>4704</v>
      </c>
      <c r="AC29" s="31">
        <v>8067</v>
      </c>
      <c r="AD29" s="29">
        <v>2288</v>
      </c>
      <c r="AE29" s="30">
        <v>3095</v>
      </c>
      <c r="AF29" s="31">
        <v>5383</v>
      </c>
      <c r="AG29" s="29">
        <v>1444</v>
      </c>
      <c r="AH29" s="30">
        <v>2181</v>
      </c>
      <c r="AI29" s="31">
        <v>3625</v>
      </c>
      <c r="AJ29" s="29">
        <v>947</v>
      </c>
      <c r="AK29" s="30">
        <v>1544</v>
      </c>
      <c r="AL29" s="31">
        <v>2491</v>
      </c>
      <c r="AM29" s="29">
        <v>464</v>
      </c>
      <c r="AN29" s="30">
        <v>735</v>
      </c>
      <c r="AO29" s="31">
        <v>1199</v>
      </c>
      <c r="AP29" s="29">
        <v>164</v>
      </c>
      <c r="AQ29" s="30">
        <v>299</v>
      </c>
      <c r="AR29" s="31">
        <v>463</v>
      </c>
      <c r="AS29" s="29">
        <v>51</v>
      </c>
      <c r="AT29" s="30">
        <v>84</v>
      </c>
      <c r="AU29" s="31">
        <v>135</v>
      </c>
      <c r="AV29" s="29">
        <v>16</v>
      </c>
      <c r="AW29" s="30">
        <v>23</v>
      </c>
      <c r="AX29" s="31">
        <v>39</v>
      </c>
      <c r="AY29" s="29">
        <f t="shared" si="1"/>
        <v>8334</v>
      </c>
      <c r="AZ29" s="30">
        <f t="shared" si="2"/>
        <v>11176</v>
      </c>
      <c r="BA29" s="31">
        <f t="shared" si="3"/>
        <v>19510</v>
      </c>
      <c r="BB29" s="29">
        <f t="shared" si="4"/>
        <v>3732</v>
      </c>
      <c r="BC29" s="30">
        <f t="shared" si="5"/>
        <v>5276</v>
      </c>
      <c r="BD29" s="31">
        <f t="shared" si="6"/>
        <v>9008</v>
      </c>
      <c r="BE29" s="29">
        <f t="shared" si="7"/>
        <v>1642</v>
      </c>
      <c r="BF29" s="30">
        <f t="shared" si="8"/>
        <v>2685</v>
      </c>
      <c r="BG29" s="31">
        <f t="shared" si="9"/>
        <v>4327</v>
      </c>
    </row>
    <row r="30" spans="1:59" s="32" customFormat="1" ht="23.25">
      <c r="A30" s="21">
        <v>26</v>
      </c>
      <c r="B30" s="22" t="s">
        <v>67</v>
      </c>
      <c r="C30" s="33"/>
      <c r="D30" s="34"/>
      <c r="E30" s="35">
        <v>0</v>
      </c>
      <c r="F30" s="26">
        <v>5292</v>
      </c>
      <c r="G30" s="27">
        <v>6302</v>
      </c>
      <c r="H30" s="28">
        <v>11594</v>
      </c>
      <c r="I30" s="29">
        <v>1378</v>
      </c>
      <c r="J30" s="30">
        <v>1640</v>
      </c>
      <c r="K30" s="31">
        <v>3018</v>
      </c>
      <c r="L30" s="29">
        <v>1311</v>
      </c>
      <c r="M30" s="30">
        <v>1606</v>
      </c>
      <c r="N30" s="31">
        <v>2917</v>
      </c>
      <c r="O30" s="29">
        <v>1329</v>
      </c>
      <c r="P30" s="30">
        <v>1532</v>
      </c>
      <c r="Q30" s="31">
        <v>2861</v>
      </c>
      <c r="R30" s="29">
        <v>1274</v>
      </c>
      <c r="S30" s="30">
        <v>1524</v>
      </c>
      <c r="T30" s="31">
        <v>2798</v>
      </c>
      <c r="U30" s="29">
        <v>14463</v>
      </c>
      <c r="V30" s="30">
        <v>20299</v>
      </c>
      <c r="W30" s="31">
        <v>34762</v>
      </c>
      <c r="X30" s="29">
        <v>4942</v>
      </c>
      <c r="Y30" s="30">
        <v>6519</v>
      </c>
      <c r="Z30" s="31">
        <v>11461</v>
      </c>
      <c r="AA30" s="29">
        <v>3511</v>
      </c>
      <c r="AB30" s="30">
        <v>4945</v>
      </c>
      <c r="AC30" s="31">
        <v>8456</v>
      </c>
      <c r="AD30" s="29">
        <v>2461</v>
      </c>
      <c r="AE30" s="30">
        <v>3454</v>
      </c>
      <c r="AF30" s="31">
        <v>5915</v>
      </c>
      <c r="AG30" s="29">
        <v>1575</v>
      </c>
      <c r="AH30" s="30">
        <v>2351</v>
      </c>
      <c r="AI30" s="31">
        <v>3926</v>
      </c>
      <c r="AJ30" s="29">
        <v>1098</v>
      </c>
      <c r="AK30" s="30">
        <v>1657</v>
      </c>
      <c r="AL30" s="31">
        <v>2755</v>
      </c>
      <c r="AM30" s="29">
        <v>582</v>
      </c>
      <c r="AN30" s="30">
        <v>882</v>
      </c>
      <c r="AO30" s="31">
        <v>1464</v>
      </c>
      <c r="AP30" s="29">
        <v>208</v>
      </c>
      <c r="AQ30" s="30">
        <v>354</v>
      </c>
      <c r="AR30" s="31">
        <v>562</v>
      </c>
      <c r="AS30" s="29">
        <v>61</v>
      </c>
      <c r="AT30" s="30">
        <v>96</v>
      </c>
      <c r="AU30" s="31">
        <v>157</v>
      </c>
      <c r="AV30" s="29">
        <v>25</v>
      </c>
      <c r="AW30" s="30">
        <v>41</v>
      </c>
      <c r="AX30" s="31">
        <v>66</v>
      </c>
      <c r="AY30" s="29">
        <f t="shared" si="1"/>
        <v>8453</v>
      </c>
      <c r="AZ30" s="30">
        <f t="shared" si="2"/>
        <v>11464</v>
      </c>
      <c r="BA30" s="31">
        <f t="shared" si="3"/>
        <v>19917</v>
      </c>
      <c r="BB30" s="29">
        <f t="shared" si="4"/>
        <v>4036</v>
      </c>
      <c r="BC30" s="30">
        <f t="shared" si="5"/>
        <v>5805</v>
      </c>
      <c r="BD30" s="31">
        <f t="shared" si="6"/>
        <v>9841</v>
      </c>
      <c r="BE30" s="29">
        <f t="shared" si="7"/>
        <v>1974</v>
      </c>
      <c r="BF30" s="30">
        <f t="shared" si="8"/>
        <v>3030</v>
      </c>
      <c r="BG30" s="31">
        <f t="shared" si="9"/>
        <v>5004</v>
      </c>
    </row>
    <row r="31" spans="1:59" s="32" customFormat="1" ht="23.25">
      <c r="A31" s="21">
        <v>27</v>
      </c>
      <c r="B31" s="22" t="s">
        <v>66</v>
      </c>
      <c r="C31" s="33"/>
      <c r="D31" s="34"/>
      <c r="E31" s="35">
        <v>0</v>
      </c>
      <c r="F31" s="26">
        <f>I31+L31+O31+R31</f>
        <v>3549</v>
      </c>
      <c r="G31" s="27">
        <f>J31+M31+P31+S31</f>
        <v>4716</v>
      </c>
      <c r="H31" s="28">
        <f>F31+G31</f>
        <v>8265</v>
      </c>
      <c r="I31" s="29">
        <v>912</v>
      </c>
      <c r="J31" s="30">
        <v>1192</v>
      </c>
      <c r="K31" s="31">
        <f>I31+J31</f>
        <v>2104</v>
      </c>
      <c r="L31" s="29">
        <v>892</v>
      </c>
      <c r="M31" s="30">
        <v>1189</v>
      </c>
      <c r="N31" s="31">
        <f>L31+M31</f>
        <v>2081</v>
      </c>
      <c r="O31" s="29">
        <v>882</v>
      </c>
      <c r="P31" s="30">
        <v>1179</v>
      </c>
      <c r="Q31" s="31">
        <f>O31+P31</f>
        <v>2061</v>
      </c>
      <c r="R31" s="29">
        <v>863</v>
      </c>
      <c r="S31" s="30">
        <v>1156</v>
      </c>
      <c r="T31" s="31">
        <f>R31+S31</f>
        <v>2019</v>
      </c>
      <c r="U31" s="29">
        <f>X31+AA31+AD31+AG31+AJ31+AM31+AP31+AS31+AV31</f>
        <v>11226</v>
      </c>
      <c r="V31" s="30">
        <f>Y31+AB31+AE31+AH31+AK31+AN31+AQ31+AT31+AW31</f>
        <v>16202</v>
      </c>
      <c r="W31" s="31">
        <f>U31+V31</f>
        <v>27428</v>
      </c>
      <c r="X31" s="29">
        <v>3724</v>
      </c>
      <c r="Y31" s="30">
        <v>4974</v>
      </c>
      <c r="Z31" s="31">
        <f>X31+Y31</f>
        <v>8698</v>
      </c>
      <c r="AA31" s="29">
        <v>2871</v>
      </c>
      <c r="AB31" s="30">
        <v>3954</v>
      </c>
      <c r="AC31" s="31">
        <f>AA31+AB31</f>
        <v>6825</v>
      </c>
      <c r="AD31" s="29">
        <v>1906</v>
      </c>
      <c r="AE31" s="30">
        <v>2784</v>
      </c>
      <c r="AF31" s="31">
        <f>AD31+AE31</f>
        <v>4690</v>
      </c>
      <c r="AG31" s="29">
        <v>1229</v>
      </c>
      <c r="AH31" s="30">
        <v>1902</v>
      </c>
      <c r="AI31" s="31">
        <f>AG31+AH31</f>
        <v>3131</v>
      </c>
      <c r="AJ31" s="29">
        <v>869</v>
      </c>
      <c r="AK31" s="30">
        <v>1383</v>
      </c>
      <c r="AL31" s="31">
        <f>AJ31+AK31</f>
        <v>2252</v>
      </c>
      <c r="AM31" s="29">
        <v>406</v>
      </c>
      <c r="AN31" s="30">
        <v>763</v>
      </c>
      <c r="AO31" s="31">
        <f>AM31+AN31</f>
        <v>1169</v>
      </c>
      <c r="AP31" s="29">
        <v>154</v>
      </c>
      <c r="AQ31" s="30">
        <v>317</v>
      </c>
      <c r="AR31" s="31">
        <f>AP31+AQ31</f>
        <v>471</v>
      </c>
      <c r="AS31" s="29">
        <v>49</v>
      </c>
      <c r="AT31" s="30">
        <v>99</v>
      </c>
      <c r="AU31" s="31">
        <f>AS31+AT31</f>
        <v>148</v>
      </c>
      <c r="AV31" s="29">
        <v>18</v>
      </c>
      <c r="AW31" s="30">
        <v>26</v>
      </c>
      <c r="AX31" s="31">
        <f>AV31+AW31</f>
        <v>44</v>
      </c>
      <c r="AY31" s="29">
        <f t="shared" ref="AY31" si="10">X31+AA31</f>
        <v>6595</v>
      </c>
      <c r="AZ31" s="30">
        <f t="shared" ref="AZ31" si="11">Y31+AB31</f>
        <v>8928</v>
      </c>
      <c r="BA31" s="31">
        <f t="shared" ref="BA31" si="12">AY31+AZ31</f>
        <v>15523</v>
      </c>
      <c r="BB31" s="29">
        <f t="shared" ref="BB31" si="13">AD31+AG31</f>
        <v>3135</v>
      </c>
      <c r="BC31" s="30">
        <f t="shared" ref="BC31" si="14">AE31+AH31</f>
        <v>4686</v>
      </c>
      <c r="BD31" s="31">
        <f t="shared" ref="BD31" si="15">BB31+BC31</f>
        <v>7821</v>
      </c>
      <c r="BE31" s="29">
        <f t="shared" ref="BE31" si="16">AJ31+AM31+AP31+AS31+AV31</f>
        <v>1496</v>
      </c>
      <c r="BF31" s="30">
        <f t="shared" ref="BF31" si="17">AK31+AN31+AQ31+AT31+AW31</f>
        <v>2588</v>
      </c>
      <c r="BG31" s="31">
        <f t="shared" ref="BG31" si="18">BE31+BF31</f>
        <v>4084</v>
      </c>
    </row>
    <row r="32" spans="1:59" s="32" customFormat="1" ht="23.25">
      <c r="A32" s="21">
        <v>28</v>
      </c>
      <c r="B32" s="22" t="s">
        <v>65</v>
      </c>
      <c r="C32" s="33"/>
      <c r="D32" s="34"/>
      <c r="E32" s="35">
        <v>0</v>
      </c>
      <c r="F32" s="26">
        <v>2402</v>
      </c>
      <c r="G32" s="27">
        <v>3200</v>
      </c>
      <c r="H32" s="28">
        <v>5602</v>
      </c>
      <c r="I32" s="29">
        <v>593</v>
      </c>
      <c r="J32" s="30">
        <v>814</v>
      </c>
      <c r="K32" s="31">
        <v>1407</v>
      </c>
      <c r="L32" s="29">
        <v>628</v>
      </c>
      <c r="M32" s="30">
        <v>787</v>
      </c>
      <c r="N32" s="31">
        <v>1415</v>
      </c>
      <c r="O32" s="29">
        <v>584</v>
      </c>
      <c r="P32" s="30">
        <v>765</v>
      </c>
      <c r="Q32" s="31">
        <v>1349</v>
      </c>
      <c r="R32" s="29">
        <v>597</v>
      </c>
      <c r="S32" s="30">
        <v>834</v>
      </c>
      <c r="T32" s="31">
        <v>1431</v>
      </c>
      <c r="U32" s="29">
        <v>7298</v>
      </c>
      <c r="V32" s="30">
        <v>10389</v>
      </c>
      <c r="W32" s="31">
        <v>17687</v>
      </c>
      <c r="X32" s="29">
        <v>2505</v>
      </c>
      <c r="Y32" s="30">
        <v>3495</v>
      </c>
      <c r="Z32" s="31">
        <v>6000</v>
      </c>
      <c r="AA32" s="29">
        <v>2054</v>
      </c>
      <c r="AB32" s="30">
        <v>2695</v>
      </c>
      <c r="AC32" s="31">
        <v>4749</v>
      </c>
      <c r="AD32" s="29">
        <v>1282</v>
      </c>
      <c r="AE32" s="30">
        <v>1760</v>
      </c>
      <c r="AF32" s="31">
        <v>3042</v>
      </c>
      <c r="AG32" s="29">
        <v>732</v>
      </c>
      <c r="AH32" s="30">
        <v>1071</v>
      </c>
      <c r="AI32" s="31">
        <v>1803</v>
      </c>
      <c r="AJ32" s="29">
        <v>446</v>
      </c>
      <c r="AK32" s="30">
        <v>694</v>
      </c>
      <c r="AL32" s="31">
        <v>1140</v>
      </c>
      <c r="AM32" s="29">
        <v>181</v>
      </c>
      <c r="AN32" s="30">
        <v>417</v>
      </c>
      <c r="AO32" s="31">
        <v>598</v>
      </c>
      <c r="AP32" s="29">
        <v>69</v>
      </c>
      <c r="AQ32" s="30">
        <v>185</v>
      </c>
      <c r="AR32" s="31">
        <v>254</v>
      </c>
      <c r="AS32" s="29">
        <v>22</v>
      </c>
      <c r="AT32" s="30">
        <v>55</v>
      </c>
      <c r="AU32" s="31">
        <v>77</v>
      </c>
      <c r="AV32" s="29">
        <v>7</v>
      </c>
      <c r="AW32" s="30">
        <v>17</v>
      </c>
      <c r="AX32" s="31">
        <v>24</v>
      </c>
      <c r="AY32" s="29">
        <f t="shared" si="1"/>
        <v>4559</v>
      </c>
      <c r="AZ32" s="30">
        <f t="shared" si="2"/>
        <v>6190</v>
      </c>
      <c r="BA32" s="31">
        <f t="shared" si="3"/>
        <v>10749</v>
      </c>
      <c r="BB32" s="29">
        <f t="shared" si="4"/>
        <v>2014</v>
      </c>
      <c r="BC32" s="30">
        <f t="shared" si="5"/>
        <v>2831</v>
      </c>
      <c r="BD32" s="31">
        <f t="shared" si="6"/>
        <v>4845</v>
      </c>
      <c r="BE32" s="29">
        <f t="shared" si="7"/>
        <v>725</v>
      </c>
      <c r="BF32" s="30">
        <f t="shared" si="8"/>
        <v>1368</v>
      </c>
      <c r="BG32" s="31">
        <f t="shared" si="9"/>
        <v>2093</v>
      </c>
    </row>
    <row r="33" spans="1:59" s="32" customFormat="1" ht="23.25">
      <c r="A33" s="21">
        <v>29</v>
      </c>
      <c r="B33" s="22" t="s">
        <v>64</v>
      </c>
      <c r="C33" s="33"/>
      <c r="D33" s="34"/>
      <c r="E33" s="35">
        <v>0</v>
      </c>
      <c r="F33" s="26">
        <v>3673</v>
      </c>
      <c r="G33" s="27">
        <v>5108</v>
      </c>
      <c r="H33" s="28">
        <v>8781</v>
      </c>
      <c r="I33" s="29">
        <v>989</v>
      </c>
      <c r="J33" s="30">
        <v>1320</v>
      </c>
      <c r="K33" s="31">
        <v>2309</v>
      </c>
      <c r="L33" s="29">
        <v>953</v>
      </c>
      <c r="M33" s="30">
        <v>1299</v>
      </c>
      <c r="N33" s="31">
        <v>2252</v>
      </c>
      <c r="O33" s="29">
        <v>893</v>
      </c>
      <c r="P33" s="30">
        <v>1262</v>
      </c>
      <c r="Q33" s="31">
        <v>2155</v>
      </c>
      <c r="R33" s="29">
        <v>838</v>
      </c>
      <c r="S33" s="30">
        <v>1227</v>
      </c>
      <c r="T33" s="31">
        <v>2065</v>
      </c>
      <c r="U33" s="29">
        <v>10871</v>
      </c>
      <c r="V33" s="30">
        <v>15934</v>
      </c>
      <c r="W33" s="31">
        <v>26805</v>
      </c>
      <c r="X33" s="29">
        <v>3748</v>
      </c>
      <c r="Y33" s="30">
        <v>5113</v>
      </c>
      <c r="Z33" s="31">
        <v>8861</v>
      </c>
      <c r="AA33" s="29">
        <v>2922</v>
      </c>
      <c r="AB33" s="30">
        <v>4087</v>
      </c>
      <c r="AC33" s="31">
        <v>7009</v>
      </c>
      <c r="AD33" s="29">
        <v>1876</v>
      </c>
      <c r="AE33" s="30">
        <v>2709</v>
      </c>
      <c r="AF33" s="31">
        <v>4585</v>
      </c>
      <c r="AG33" s="29">
        <v>1157</v>
      </c>
      <c r="AH33" s="30">
        <v>1796</v>
      </c>
      <c r="AI33" s="31">
        <v>2953</v>
      </c>
      <c r="AJ33" s="29">
        <v>679</v>
      </c>
      <c r="AK33" s="30">
        <v>1223</v>
      </c>
      <c r="AL33" s="31">
        <v>1902</v>
      </c>
      <c r="AM33" s="29">
        <v>356</v>
      </c>
      <c r="AN33" s="30">
        <v>625</v>
      </c>
      <c r="AO33" s="31">
        <v>981</v>
      </c>
      <c r="AP33" s="29">
        <v>92</v>
      </c>
      <c r="AQ33" s="30">
        <v>284</v>
      </c>
      <c r="AR33" s="31">
        <v>376</v>
      </c>
      <c r="AS33" s="29">
        <v>32</v>
      </c>
      <c r="AT33" s="30">
        <v>83</v>
      </c>
      <c r="AU33" s="31">
        <v>115</v>
      </c>
      <c r="AV33" s="29">
        <v>9</v>
      </c>
      <c r="AW33" s="30">
        <v>14</v>
      </c>
      <c r="AX33" s="31">
        <v>23</v>
      </c>
      <c r="AY33" s="29">
        <f t="shared" si="1"/>
        <v>6670</v>
      </c>
      <c r="AZ33" s="30">
        <f t="shared" si="2"/>
        <v>9200</v>
      </c>
      <c r="BA33" s="31">
        <f t="shared" si="3"/>
        <v>15870</v>
      </c>
      <c r="BB33" s="29">
        <f t="shared" si="4"/>
        <v>3033</v>
      </c>
      <c r="BC33" s="30">
        <f t="shared" si="5"/>
        <v>4505</v>
      </c>
      <c r="BD33" s="31">
        <f t="shared" si="6"/>
        <v>7538</v>
      </c>
      <c r="BE33" s="29">
        <f t="shared" si="7"/>
        <v>1168</v>
      </c>
      <c r="BF33" s="30">
        <f t="shared" si="8"/>
        <v>2229</v>
      </c>
      <c r="BG33" s="31">
        <f t="shared" si="9"/>
        <v>3397</v>
      </c>
    </row>
    <row r="34" spans="1:59" s="32" customFormat="1" ht="23.25">
      <c r="A34" s="21">
        <v>30</v>
      </c>
      <c r="B34" s="22" t="s">
        <v>63</v>
      </c>
      <c r="C34" s="33"/>
      <c r="D34" s="34"/>
      <c r="E34" s="35">
        <v>0</v>
      </c>
      <c r="F34" s="26">
        <v>2369</v>
      </c>
      <c r="G34" s="27">
        <v>3035</v>
      </c>
      <c r="H34" s="28">
        <v>5404</v>
      </c>
      <c r="I34" s="29">
        <v>598</v>
      </c>
      <c r="J34" s="30">
        <v>793</v>
      </c>
      <c r="K34" s="31">
        <v>1391</v>
      </c>
      <c r="L34" s="29">
        <v>623</v>
      </c>
      <c r="M34" s="30">
        <v>769</v>
      </c>
      <c r="N34" s="31">
        <v>1392</v>
      </c>
      <c r="O34" s="29">
        <v>620</v>
      </c>
      <c r="P34" s="30">
        <v>723</v>
      </c>
      <c r="Q34" s="31">
        <v>1343</v>
      </c>
      <c r="R34" s="29">
        <v>528</v>
      </c>
      <c r="S34" s="30">
        <v>750</v>
      </c>
      <c r="T34" s="31">
        <v>1278</v>
      </c>
      <c r="U34" s="29">
        <v>6822</v>
      </c>
      <c r="V34" s="30">
        <v>9467</v>
      </c>
      <c r="W34" s="31">
        <v>16289</v>
      </c>
      <c r="X34" s="29">
        <v>2306</v>
      </c>
      <c r="Y34" s="30">
        <v>3037</v>
      </c>
      <c r="Z34" s="31">
        <v>5343</v>
      </c>
      <c r="AA34" s="29">
        <v>1820</v>
      </c>
      <c r="AB34" s="30">
        <v>2372</v>
      </c>
      <c r="AC34" s="31">
        <v>4192</v>
      </c>
      <c r="AD34" s="29">
        <v>1134</v>
      </c>
      <c r="AE34" s="30">
        <v>1576</v>
      </c>
      <c r="AF34" s="31">
        <v>2710</v>
      </c>
      <c r="AG34" s="29">
        <v>723</v>
      </c>
      <c r="AH34" s="30">
        <v>1061</v>
      </c>
      <c r="AI34" s="31">
        <v>1784</v>
      </c>
      <c r="AJ34" s="29">
        <v>454</v>
      </c>
      <c r="AK34" s="30">
        <v>787</v>
      </c>
      <c r="AL34" s="31">
        <v>1241</v>
      </c>
      <c r="AM34" s="29">
        <v>246</v>
      </c>
      <c r="AN34" s="30">
        <v>413</v>
      </c>
      <c r="AO34" s="31">
        <v>659</v>
      </c>
      <c r="AP34" s="29">
        <v>94</v>
      </c>
      <c r="AQ34" s="30">
        <v>165</v>
      </c>
      <c r="AR34" s="31">
        <v>259</v>
      </c>
      <c r="AS34" s="29">
        <v>34</v>
      </c>
      <c r="AT34" s="30">
        <v>41</v>
      </c>
      <c r="AU34" s="31">
        <v>75</v>
      </c>
      <c r="AV34" s="29">
        <v>11</v>
      </c>
      <c r="AW34" s="30">
        <v>15</v>
      </c>
      <c r="AX34" s="31">
        <v>26</v>
      </c>
      <c r="AY34" s="29">
        <f t="shared" si="1"/>
        <v>4126</v>
      </c>
      <c r="AZ34" s="30">
        <f t="shared" si="2"/>
        <v>5409</v>
      </c>
      <c r="BA34" s="31">
        <f t="shared" si="3"/>
        <v>9535</v>
      </c>
      <c r="BB34" s="29">
        <f t="shared" si="4"/>
        <v>1857</v>
      </c>
      <c r="BC34" s="30">
        <f t="shared" si="5"/>
        <v>2637</v>
      </c>
      <c r="BD34" s="31">
        <f t="shared" si="6"/>
        <v>4494</v>
      </c>
      <c r="BE34" s="29">
        <f t="shared" si="7"/>
        <v>839</v>
      </c>
      <c r="BF34" s="30">
        <f t="shared" si="8"/>
        <v>1421</v>
      </c>
      <c r="BG34" s="31">
        <f t="shared" si="9"/>
        <v>2260</v>
      </c>
    </row>
    <row r="35" spans="1:59" s="32" customFormat="1" ht="23.25">
      <c r="A35" s="21">
        <v>31</v>
      </c>
      <c r="B35" s="22" t="s">
        <v>62</v>
      </c>
      <c r="C35" s="33"/>
      <c r="D35" s="34"/>
      <c r="E35" s="35">
        <v>0</v>
      </c>
      <c r="F35" s="26">
        <v>4374</v>
      </c>
      <c r="G35" s="27">
        <v>5258</v>
      </c>
      <c r="H35" s="28">
        <v>9632</v>
      </c>
      <c r="I35" s="36">
        <v>1193</v>
      </c>
      <c r="J35" s="30">
        <v>1403</v>
      </c>
      <c r="K35" s="31">
        <v>2596</v>
      </c>
      <c r="L35" s="29">
        <v>1121</v>
      </c>
      <c r="M35" s="30">
        <v>1373</v>
      </c>
      <c r="N35" s="31">
        <v>2494</v>
      </c>
      <c r="O35" s="29">
        <v>1026</v>
      </c>
      <c r="P35" s="30">
        <v>1221</v>
      </c>
      <c r="Q35" s="31">
        <v>2247</v>
      </c>
      <c r="R35" s="29">
        <v>1034</v>
      </c>
      <c r="S35" s="30">
        <v>1261</v>
      </c>
      <c r="T35" s="31">
        <v>2295</v>
      </c>
      <c r="U35" s="29">
        <v>10136</v>
      </c>
      <c r="V35" s="30">
        <v>13256</v>
      </c>
      <c r="W35" s="31">
        <v>23392</v>
      </c>
      <c r="X35" s="29">
        <v>3998</v>
      </c>
      <c r="Y35" s="30">
        <v>4657</v>
      </c>
      <c r="Z35" s="31">
        <v>8655</v>
      </c>
      <c r="AA35" s="29">
        <v>2664</v>
      </c>
      <c r="AB35" s="30">
        <v>3446</v>
      </c>
      <c r="AC35" s="31">
        <v>6110</v>
      </c>
      <c r="AD35" s="29">
        <v>1529</v>
      </c>
      <c r="AE35" s="30">
        <v>2030</v>
      </c>
      <c r="AF35" s="31">
        <v>3559</v>
      </c>
      <c r="AG35" s="29">
        <v>918</v>
      </c>
      <c r="AH35" s="30">
        <v>1409</v>
      </c>
      <c r="AI35" s="31">
        <v>2327</v>
      </c>
      <c r="AJ35" s="29">
        <v>603</v>
      </c>
      <c r="AK35" s="30">
        <v>989</v>
      </c>
      <c r="AL35" s="31">
        <v>1592</v>
      </c>
      <c r="AM35" s="29">
        <v>287</v>
      </c>
      <c r="AN35" s="30">
        <v>478</v>
      </c>
      <c r="AO35" s="31">
        <v>765</v>
      </c>
      <c r="AP35" s="29">
        <v>95</v>
      </c>
      <c r="AQ35" s="30">
        <v>186</v>
      </c>
      <c r="AR35" s="31">
        <v>281</v>
      </c>
      <c r="AS35" s="29">
        <v>32</v>
      </c>
      <c r="AT35" s="30">
        <v>41</v>
      </c>
      <c r="AU35" s="31">
        <v>73</v>
      </c>
      <c r="AV35" s="29">
        <v>10</v>
      </c>
      <c r="AW35" s="30">
        <v>20</v>
      </c>
      <c r="AX35" s="31">
        <v>30</v>
      </c>
      <c r="AY35" s="29">
        <f t="shared" si="1"/>
        <v>6662</v>
      </c>
      <c r="AZ35" s="30">
        <f t="shared" si="2"/>
        <v>8103</v>
      </c>
      <c r="BA35" s="31">
        <f t="shared" si="3"/>
        <v>14765</v>
      </c>
      <c r="BB35" s="29">
        <f t="shared" si="4"/>
        <v>2447</v>
      </c>
      <c r="BC35" s="30">
        <f t="shared" si="5"/>
        <v>3439</v>
      </c>
      <c r="BD35" s="31">
        <f t="shared" si="6"/>
        <v>5886</v>
      </c>
      <c r="BE35" s="29">
        <f t="shared" si="7"/>
        <v>1027</v>
      </c>
      <c r="BF35" s="30">
        <f t="shared" si="8"/>
        <v>1714</v>
      </c>
      <c r="BG35" s="31">
        <f t="shared" si="9"/>
        <v>2741</v>
      </c>
    </row>
    <row r="36" spans="1:59" s="32" customFormat="1" ht="23.25">
      <c r="A36" s="21">
        <v>32</v>
      </c>
      <c r="B36" s="22" t="s">
        <v>61</v>
      </c>
      <c r="C36" s="33"/>
      <c r="D36" s="34"/>
      <c r="E36" s="35">
        <v>0</v>
      </c>
      <c r="F36" s="26">
        <v>3708</v>
      </c>
      <c r="G36" s="27">
        <v>4415</v>
      </c>
      <c r="H36" s="28">
        <v>8123</v>
      </c>
      <c r="I36" s="29">
        <v>1027</v>
      </c>
      <c r="J36" s="30">
        <v>1184</v>
      </c>
      <c r="K36" s="31">
        <v>2211</v>
      </c>
      <c r="L36" s="29">
        <v>957</v>
      </c>
      <c r="M36" s="30">
        <v>1146</v>
      </c>
      <c r="N36" s="31">
        <v>2103</v>
      </c>
      <c r="O36" s="29">
        <v>857</v>
      </c>
      <c r="P36" s="30">
        <v>1044</v>
      </c>
      <c r="Q36" s="31">
        <v>1901</v>
      </c>
      <c r="R36" s="29">
        <v>867</v>
      </c>
      <c r="S36" s="30">
        <v>1041</v>
      </c>
      <c r="T36" s="31">
        <v>1908</v>
      </c>
      <c r="U36" s="29">
        <v>11284</v>
      </c>
      <c r="V36" s="30">
        <v>14704</v>
      </c>
      <c r="W36" s="31">
        <v>25988</v>
      </c>
      <c r="X36" s="29">
        <v>5753</v>
      </c>
      <c r="Y36" s="30">
        <v>7137</v>
      </c>
      <c r="Z36" s="31">
        <v>12890</v>
      </c>
      <c r="AA36" s="29">
        <v>2397</v>
      </c>
      <c r="AB36" s="30">
        <v>2997</v>
      </c>
      <c r="AC36" s="31">
        <v>5394</v>
      </c>
      <c r="AD36" s="29">
        <v>1374</v>
      </c>
      <c r="AE36" s="30">
        <v>1802</v>
      </c>
      <c r="AF36" s="31">
        <v>3176</v>
      </c>
      <c r="AG36" s="29">
        <v>861</v>
      </c>
      <c r="AH36" s="30">
        <v>1277</v>
      </c>
      <c r="AI36" s="31">
        <v>2138</v>
      </c>
      <c r="AJ36" s="29">
        <v>525</v>
      </c>
      <c r="AK36" s="30">
        <v>846</v>
      </c>
      <c r="AL36" s="31">
        <v>1371</v>
      </c>
      <c r="AM36" s="29">
        <v>227</v>
      </c>
      <c r="AN36" s="30">
        <v>424</v>
      </c>
      <c r="AO36" s="31">
        <v>651</v>
      </c>
      <c r="AP36" s="29">
        <v>92</v>
      </c>
      <c r="AQ36" s="30">
        <v>146</v>
      </c>
      <c r="AR36" s="31">
        <v>238</v>
      </c>
      <c r="AS36" s="29">
        <v>37</v>
      </c>
      <c r="AT36" s="30">
        <v>56</v>
      </c>
      <c r="AU36" s="31">
        <v>93</v>
      </c>
      <c r="AV36" s="29">
        <v>18</v>
      </c>
      <c r="AW36" s="30">
        <v>19</v>
      </c>
      <c r="AX36" s="31">
        <v>37</v>
      </c>
      <c r="AY36" s="29">
        <f t="shared" si="1"/>
        <v>8150</v>
      </c>
      <c r="AZ36" s="30">
        <f t="shared" si="2"/>
        <v>10134</v>
      </c>
      <c r="BA36" s="31">
        <f t="shared" si="3"/>
        <v>18284</v>
      </c>
      <c r="BB36" s="29">
        <f t="shared" si="4"/>
        <v>2235</v>
      </c>
      <c r="BC36" s="30">
        <f t="shared" si="5"/>
        <v>3079</v>
      </c>
      <c r="BD36" s="31">
        <f t="shared" si="6"/>
        <v>5314</v>
      </c>
      <c r="BE36" s="29">
        <f t="shared" si="7"/>
        <v>899</v>
      </c>
      <c r="BF36" s="30">
        <f t="shared" si="8"/>
        <v>1491</v>
      </c>
      <c r="BG36" s="31">
        <f t="shared" si="9"/>
        <v>2390</v>
      </c>
    </row>
    <row r="37" spans="1:59" s="32" customFormat="1" ht="23.25">
      <c r="A37" s="21">
        <v>33</v>
      </c>
      <c r="B37" s="22" t="s">
        <v>60</v>
      </c>
      <c r="C37" s="33"/>
      <c r="D37" s="34"/>
      <c r="E37" s="35">
        <v>0</v>
      </c>
      <c r="F37" s="26">
        <v>4249</v>
      </c>
      <c r="G37" s="27">
        <v>4431</v>
      </c>
      <c r="H37" s="28">
        <v>8680</v>
      </c>
      <c r="I37" s="29">
        <v>1208</v>
      </c>
      <c r="J37" s="30">
        <v>1196</v>
      </c>
      <c r="K37" s="31">
        <v>2404</v>
      </c>
      <c r="L37" s="29">
        <v>1059</v>
      </c>
      <c r="M37" s="30">
        <v>1112</v>
      </c>
      <c r="N37" s="31">
        <v>2171</v>
      </c>
      <c r="O37" s="29">
        <v>982</v>
      </c>
      <c r="P37" s="30">
        <v>1100</v>
      </c>
      <c r="Q37" s="31">
        <v>2082</v>
      </c>
      <c r="R37" s="29">
        <v>1000</v>
      </c>
      <c r="S37" s="30">
        <v>1023</v>
      </c>
      <c r="T37" s="31">
        <v>2023</v>
      </c>
      <c r="U37" s="29">
        <v>9303</v>
      </c>
      <c r="V37" s="30">
        <v>11480</v>
      </c>
      <c r="W37" s="31">
        <v>20783</v>
      </c>
      <c r="X37" s="29">
        <v>3502</v>
      </c>
      <c r="Y37" s="30">
        <v>4010</v>
      </c>
      <c r="Z37" s="31">
        <v>7512</v>
      </c>
      <c r="AA37" s="29">
        <v>1996</v>
      </c>
      <c r="AB37" s="30">
        <v>2918</v>
      </c>
      <c r="AC37" s="31">
        <v>4914</v>
      </c>
      <c r="AD37" s="29">
        <v>1547</v>
      </c>
      <c r="AE37" s="30">
        <v>1838</v>
      </c>
      <c r="AF37" s="31">
        <v>3385</v>
      </c>
      <c r="AG37" s="29">
        <v>928</v>
      </c>
      <c r="AH37" s="30">
        <v>1177</v>
      </c>
      <c r="AI37" s="31">
        <v>2105</v>
      </c>
      <c r="AJ37" s="29">
        <v>593</v>
      </c>
      <c r="AK37" s="30">
        <v>832</v>
      </c>
      <c r="AL37" s="31">
        <v>1425</v>
      </c>
      <c r="AM37" s="29">
        <v>310</v>
      </c>
      <c r="AN37" s="30">
        <v>453</v>
      </c>
      <c r="AO37" s="31">
        <v>763</v>
      </c>
      <c r="AP37" s="29">
        <v>108</v>
      </c>
      <c r="AQ37" s="30">
        <v>182</v>
      </c>
      <c r="AR37" s="31">
        <v>290</v>
      </c>
      <c r="AS37" s="29">
        <v>308</v>
      </c>
      <c r="AT37" s="30">
        <v>51</v>
      </c>
      <c r="AU37" s="31">
        <v>359</v>
      </c>
      <c r="AV37" s="29">
        <v>11</v>
      </c>
      <c r="AW37" s="30">
        <v>19</v>
      </c>
      <c r="AX37" s="31">
        <v>30</v>
      </c>
      <c r="AY37" s="29">
        <f t="shared" si="1"/>
        <v>5498</v>
      </c>
      <c r="AZ37" s="30">
        <f t="shared" si="2"/>
        <v>6928</v>
      </c>
      <c r="BA37" s="31">
        <f t="shared" si="3"/>
        <v>12426</v>
      </c>
      <c r="BB37" s="29">
        <f t="shared" si="4"/>
        <v>2475</v>
      </c>
      <c r="BC37" s="30">
        <f t="shared" si="5"/>
        <v>3015</v>
      </c>
      <c r="BD37" s="31">
        <f t="shared" si="6"/>
        <v>5490</v>
      </c>
      <c r="BE37" s="29">
        <f t="shared" si="7"/>
        <v>1330</v>
      </c>
      <c r="BF37" s="30">
        <f t="shared" si="8"/>
        <v>1537</v>
      </c>
      <c r="BG37" s="31">
        <f t="shared" si="9"/>
        <v>2867</v>
      </c>
    </row>
    <row r="38" spans="1:59" s="32" customFormat="1" ht="23.25">
      <c r="A38" s="21">
        <v>34</v>
      </c>
      <c r="B38" s="22" t="s">
        <v>59</v>
      </c>
      <c r="C38" s="33"/>
      <c r="D38" s="34"/>
      <c r="E38" s="35">
        <v>0</v>
      </c>
      <c r="F38" s="26">
        <v>5113</v>
      </c>
      <c r="G38" s="27">
        <v>5793</v>
      </c>
      <c r="H38" s="28">
        <v>10906</v>
      </c>
      <c r="I38" s="29">
        <v>1442</v>
      </c>
      <c r="J38" s="30">
        <v>1534</v>
      </c>
      <c r="K38" s="31">
        <v>2976</v>
      </c>
      <c r="L38" s="29">
        <v>1272</v>
      </c>
      <c r="M38" s="30">
        <v>1517</v>
      </c>
      <c r="N38" s="31">
        <v>2789</v>
      </c>
      <c r="O38" s="29">
        <v>1241</v>
      </c>
      <c r="P38" s="30">
        <v>1362</v>
      </c>
      <c r="Q38" s="31">
        <v>2603</v>
      </c>
      <c r="R38" s="29">
        <v>1158</v>
      </c>
      <c r="S38" s="30">
        <v>1380</v>
      </c>
      <c r="T38" s="31">
        <v>2538</v>
      </c>
      <c r="U38" s="29">
        <v>10518</v>
      </c>
      <c r="V38" s="30">
        <v>13788</v>
      </c>
      <c r="W38" s="31">
        <v>24306</v>
      </c>
      <c r="X38" s="29">
        <v>4346</v>
      </c>
      <c r="Y38" s="30">
        <v>5087</v>
      </c>
      <c r="Z38" s="31">
        <v>9433</v>
      </c>
      <c r="AA38" s="29">
        <v>2681</v>
      </c>
      <c r="AB38" s="30">
        <v>3373</v>
      </c>
      <c r="AC38" s="31">
        <v>6054</v>
      </c>
      <c r="AD38" s="29">
        <v>1550</v>
      </c>
      <c r="AE38" s="30">
        <v>2217</v>
      </c>
      <c r="AF38" s="31">
        <v>3767</v>
      </c>
      <c r="AG38" s="29">
        <v>1016</v>
      </c>
      <c r="AH38" s="30">
        <v>1417</v>
      </c>
      <c r="AI38" s="31">
        <v>2433</v>
      </c>
      <c r="AJ38" s="29">
        <v>555</v>
      </c>
      <c r="AK38" s="30">
        <v>974</v>
      </c>
      <c r="AL38" s="31">
        <v>1529</v>
      </c>
      <c r="AM38" s="29">
        <v>252</v>
      </c>
      <c r="AN38" s="30">
        <v>493</v>
      </c>
      <c r="AO38" s="31">
        <v>745</v>
      </c>
      <c r="AP38" s="29">
        <v>89</v>
      </c>
      <c r="AQ38" s="30">
        <v>167</v>
      </c>
      <c r="AR38" s="31">
        <v>256</v>
      </c>
      <c r="AS38" s="29">
        <v>18</v>
      </c>
      <c r="AT38" s="30">
        <v>48</v>
      </c>
      <c r="AU38" s="31">
        <v>66</v>
      </c>
      <c r="AV38" s="29">
        <v>11</v>
      </c>
      <c r="AW38" s="30">
        <v>12</v>
      </c>
      <c r="AX38" s="31">
        <v>23</v>
      </c>
      <c r="AY38" s="29">
        <f t="shared" si="1"/>
        <v>7027</v>
      </c>
      <c r="AZ38" s="30">
        <f t="shared" si="2"/>
        <v>8460</v>
      </c>
      <c r="BA38" s="31">
        <f t="shared" si="3"/>
        <v>15487</v>
      </c>
      <c r="BB38" s="29">
        <f t="shared" si="4"/>
        <v>2566</v>
      </c>
      <c r="BC38" s="30">
        <f t="shared" si="5"/>
        <v>3634</v>
      </c>
      <c r="BD38" s="31">
        <f t="shared" si="6"/>
        <v>6200</v>
      </c>
      <c r="BE38" s="29">
        <f t="shared" si="7"/>
        <v>925</v>
      </c>
      <c r="BF38" s="30">
        <f t="shared" si="8"/>
        <v>1694</v>
      </c>
      <c r="BG38" s="31">
        <f t="shared" si="9"/>
        <v>2619</v>
      </c>
    </row>
    <row r="39" spans="1:59" s="32" customFormat="1" ht="23.25">
      <c r="A39" s="21">
        <v>35</v>
      </c>
      <c r="B39" s="22" t="s">
        <v>58</v>
      </c>
      <c r="C39" s="33"/>
      <c r="D39" s="34"/>
      <c r="E39" s="35">
        <v>0</v>
      </c>
      <c r="F39" s="26">
        <v>4066</v>
      </c>
      <c r="G39" s="27">
        <v>5049</v>
      </c>
      <c r="H39" s="28">
        <v>9115</v>
      </c>
      <c r="I39" s="29">
        <v>1089</v>
      </c>
      <c r="J39" s="30">
        <v>1325</v>
      </c>
      <c r="K39" s="31">
        <v>2414</v>
      </c>
      <c r="L39" s="29">
        <v>1037</v>
      </c>
      <c r="M39" s="30">
        <v>1280</v>
      </c>
      <c r="N39" s="31">
        <v>2317</v>
      </c>
      <c r="O39" s="29">
        <v>981</v>
      </c>
      <c r="P39" s="30">
        <v>1228</v>
      </c>
      <c r="Q39" s="31">
        <v>2209</v>
      </c>
      <c r="R39" s="29">
        <v>959</v>
      </c>
      <c r="S39" s="30">
        <v>1216</v>
      </c>
      <c r="T39" s="31">
        <v>2175</v>
      </c>
      <c r="U39" s="29">
        <v>11762</v>
      </c>
      <c r="V39" s="30">
        <v>16364</v>
      </c>
      <c r="W39" s="31">
        <v>28126</v>
      </c>
      <c r="X39" s="29">
        <v>3934</v>
      </c>
      <c r="Y39" s="30">
        <v>5112</v>
      </c>
      <c r="Z39" s="31">
        <v>9046</v>
      </c>
      <c r="AA39" s="29">
        <v>3008</v>
      </c>
      <c r="AB39" s="30">
        <v>4224</v>
      </c>
      <c r="AC39" s="31">
        <v>7232</v>
      </c>
      <c r="AD39" s="29">
        <v>2056</v>
      </c>
      <c r="AE39" s="30">
        <v>2854</v>
      </c>
      <c r="AF39" s="31">
        <v>4910</v>
      </c>
      <c r="AG39" s="29">
        <v>1298</v>
      </c>
      <c r="AH39" s="30">
        <v>1878</v>
      </c>
      <c r="AI39" s="31">
        <v>3176</v>
      </c>
      <c r="AJ39" s="29">
        <v>830</v>
      </c>
      <c r="AK39" s="30">
        <v>1229</v>
      </c>
      <c r="AL39" s="31">
        <v>2059</v>
      </c>
      <c r="AM39" s="29">
        <v>398</v>
      </c>
      <c r="AN39" s="30">
        <v>667</v>
      </c>
      <c r="AO39" s="31">
        <v>1065</v>
      </c>
      <c r="AP39" s="29">
        <v>146</v>
      </c>
      <c r="AQ39" s="30">
        <v>283</v>
      </c>
      <c r="AR39" s="31">
        <v>429</v>
      </c>
      <c r="AS39" s="29">
        <v>62</v>
      </c>
      <c r="AT39" s="30">
        <v>87</v>
      </c>
      <c r="AU39" s="31">
        <v>149</v>
      </c>
      <c r="AV39" s="29">
        <v>30</v>
      </c>
      <c r="AW39" s="30">
        <v>30</v>
      </c>
      <c r="AX39" s="31">
        <v>60</v>
      </c>
      <c r="AY39" s="29">
        <f t="shared" si="1"/>
        <v>6942</v>
      </c>
      <c r="AZ39" s="30">
        <f t="shared" si="2"/>
        <v>9336</v>
      </c>
      <c r="BA39" s="31">
        <f t="shared" si="3"/>
        <v>16278</v>
      </c>
      <c r="BB39" s="29">
        <f t="shared" si="4"/>
        <v>3354</v>
      </c>
      <c r="BC39" s="30">
        <f t="shared" si="5"/>
        <v>4732</v>
      </c>
      <c r="BD39" s="31">
        <f t="shared" si="6"/>
        <v>8086</v>
      </c>
      <c r="BE39" s="29">
        <f t="shared" si="7"/>
        <v>1466</v>
      </c>
      <c r="BF39" s="30">
        <f t="shared" si="8"/>
        <v>2296</v>
      </c>
      <c r="BG39" s="31">
        <f t="shared" si="9"/>
        <v>3762</v>
      </c>
    </row>
    <row r="40" spans="1:59" s="32" customFormat="1" ht="23.25">
      <c r="A40" s="21">
        <v>36</v>
      </c>
      <c r="B40" s="22" t="s">
        <v>57</v>
      </c>
      <c r="C40" s="33"/>
      <c r="D40" s="34"/>
      <c r="E40" s="35">
        <v>0</v>
      </c>
      <c r="F40" s="26">
        <v>2953</v>
      </c>
      <c r="G40" s="27">
        <v>3498</v>
      </c>
      <c r="H40" s="28">
        <v>6451</v>
      </c>
      <c r="I40" s="29">
        <v>729</v>
      </c>
      <c r="J40" s="30">
        <v>862</v>
      </c>
      <c r="K40" s="31">
        <v>1591</v>
      </c>
      <c r="L40" s="29">
        <v>750</v>
      </c>
      <c r="M40" s="30">
        <v>880</v>
      </c>
      <c r="N40" s="31">
        <v>1630</v>
      </c>
      <c r="O40" s="29">
        <v>749</v>
      </c>
      <c r="P40" s="30">
        <v>876</v>
      </c>
      <c r="Q40" s="31">
        <v>1625</v>
      </c>
      <c r="R40" s="29">
        <v>725</v>
      </c>
      <c r="S40" s="30">
        <v>880</v>
      </c>
      <c r="T40" s="31">
        <v>1605</v>
      </c>
      <c r="U40" s="29">
        <v>10884</v>
      </c>
      <c r="V40" s="30">
        <v>14852</v>
      </c>
      <c r="W40" s="31">
        <v>25736</v>
      </c>
      <c r="X40" s="29">
        <v>3398</v>
      </c>
      <c r="Y40" s="30">
        <v>4168</v>
      </c>
      <c r="Z40" s="31">
        <v>7566</v>
      </c>
      <c r="AA40" s="29">
        <v>2719</v>
      </c>
      <c r="AB40" s="30">
        <v>3494</v>
      </c>
      <c r="AC40" s="31">
        <v>6213</v>
      </c>
      <c r="AD40" s="29">
        <v>1733</v>
      </c>
      <c r="AE40" s="30">
        <v>2459</v>
      </c>
      <c r="AF40" s="31">
        <v>4192</v>
      </c>
      <c r="AG40" s="29">
        <v>1222</v>
      </c>
      <c r="AH40" s="30">
        <v>1748</v>
      </c>
      <c r="AI40" s="31">
        <v>2970</v>
      </c>
      <c r="AJ40" s="29">
        <v>864</v>
      </c>
      <c r="AK40" s="30">
        <v>1489</v>
      </c>
      <c r="AL40" s="31">
        <v>2353</v>
      </c>
      <c r="AM40" s="29">
        <v>533</v>
      </c>
      <c r="AN40" s="30">
        <v>904</v>
      </c>
      <c r="AO40" s="31">
        <v>1437</v>
      </c>
      <c r="AP40" s="29">
        <v>239</v>
      </c>
      <c r="AQ40" s="30">
        <v>395</v>
      </c>
      <c r="AR40" s="31">
        <v>634</v>
      </c>
      <c r="AS40" s="29">
        <v>108</v>
      </c>
      <c r="AT40" s="30">
        <v>135</v>
      </c>
      <c r="AU40" s="31">
        <v>243</v>
      </c>
      <c r="AV40" s="29">
        <v>68</v>
      </c>
      <c r="AW40" s="30">
        <v>60</v>
      </c>
      <c r="AX40" s="31">
        <v>128</v>
      </c>
      <c r="AY40" s="29">
        <f t="shared" si="1"/>
        <v>6117</v>
      </c>
      <c r="AZ40" s="30">
        <f t="shared" si="2"/>
        <v>7662</v>
      </c>
      <c r="BA40" s="31">
        <f t="shared" si="3"/>
        <v>13779</v>
      </c>
      <c r="BB40" s="29">
        <f t="shared" si="4"/>
        <v>2955</v>
      </c>
      <c r="BC40" s="30">
        <f t="shared" si="5"/>
        <v>4207</v>
      </c>
      <c r="BD40" s="31">
        <f t="shared" si="6"/>
        <v>7162</v>
      </c>
      <c r="BE40" s="29">
        <f t="shared" si="7"/>
        <v>1812</v>
      </c>
      <c r="BF40" s="30">
        <f t="shared" si="8"/>
        <v>2983</v>
      </c>
      <c r="BG40" s="31">
        <f t="shared" si="9"/>
        <v>4795</v>
      </c>
    </row>
    <row r="41" spans="1:59" s="32" customFormat="1" ht="23.25">
      <c r="A41" s="21">
        <v>37</v>
      </c>
      <c r="B41" s="22" t="s">
        <v>56</v>
      </c>
      <c r="C41" s="33"/>
      <c r="D41" s="34"/>
      <c r="E41" s="35">
        <v>0</v>
      </c>
      <c r="F41" s="26">
        <v>1818</v>
      </c>
      <c r="G41" s="27">
        <v>2347</v>
      </c>
      <c r="H41" s="28">
        <v>4165</v>
      </c>
      <c r="I41" s="29">
        <v>455</v>
      </c>
      <c r="J41" s="30">
        <v>584</v>
      </c>
      <c r="K41" s="31">
        <v>1039</v>
      </c>
      <c r="L41" s="29">
        <v>423</v>
      </c>
      <c r="M41" s="30">
        <v>595</v>
      </c>
      <c r="N41" s="31">
        <v>1018</v>
      </c>
      <c r="O41" s="29">
        <v>452</v>
      </c>
      <c r="P41" s="30">
        <v>577</v>
      </c>
      <c r="Q41" s="31">
        <v>1029</v>
      </c>
      <c r="R41" s="29">
        <v>488</v>
      </c>
      <c r="S41" s="30">
        <v>591</v>
      </c>
      <c r="T41" s="31">
        <v>1079</v>
      </c>
      <c r="U41" s="29">
        <v>7644</v>
      </c>
      <c r="V41" s="30">
        <v>10402</v>
      </c>
      <c r="W41" s="31">
        <v>18046</v>
      </c>
      <c r="X41" s="29">
        <v>2203</v>
      </c>
      <c r="Y41" s="30">
        <v>2841</v>
      </c>
      <c r="Z41" s="31">
        <v>5044</v>
      </c>
      <c r="AA41" s="29">
        <v>1903</v>
      </c>
      <c r="AB41" s="30">
        <v>2510</v>
      </c>
      <c r="AC41" s="31">
        <v>4413</v>
      </c>
      <c r="AD41" s="29">
        <v>1329</v>
      </c>
      <c r="AE41" s="30">
        <v>1878</v>
      </c>
      <c r="AF41" s="31">
        <v>3207</v>
      </c>
      <c r="AG41" s="29">
        <v>857</v>
      </c>
      <c r="AH41" s="30">
        <v>1185</v>
      </c>
      <c r="AI41" s="31">
        <v>2042</v>
      </c>
      <c r="AJ41" s="29">
        <v>613</v>
      </c>
      <c r="AK41" s="30">
        <v>1010</v>
      </c>
      <c r="AL41" s="31">
        <v>1623</v>
      </c>
      <c r="AM41" s="29">
        <v>388</v>
      </c>
      <c r="AN41" s="30">
        <v>590</v>
      </c>
      <c r="AO41" s="31">
        <v>978</v>
      </c>
      <c r="AP41" s="29">
        <v>188</v>
      </c>
      <c r="AQ41" s="30">
        <v>258</v>
      </c>
      <c r="AR41" s="31">
        <v>446</v>
      </c>
      <c r="AS41" s="29">
        <v>98</v>
      </c>
      <c r="AT41" s="30">
        <v>90</v>
      </c>
      <c r="AU41" s="31">
        <v>188</v>
      </c>
      <c r="AV41" s="29">
        <v>65</v>
      </c>
      <c r="AW41" s="30">
        <v>40</v>
      </c>
      <c r="AX41" s="31">
        <v>105</v>
      </c>
      <c r="AY41" s="29">
        <f t="shared" si="1"/>
        <v>4106</v>
      </c>
      <c r="AZ41" s="30">
        <f t="shared" si="2"/>
        <v>5351</v>
      </c>
      <c r="BA41" s="31">
        <f t="shared" si="3"/>
        <v>9457</v>
      </c>
      <c r="BB41" s="29">
        <f t="shared" si="4"/>
        <v>2186</v>
      </c>
      <c r="BC41" s="30">
        <f t="shared" si="5"/>
        <v>3063</v>
      </c>
      <c r="BD41" s="31">
        <f t="shared" si="6"/>
        <v>5249</v>
      </c>
      <c r="BE41" s="29">
        <f t="shared" si="7"/>
        <v>1352</v>
      </c>
      <c r="BF41" s="30">
        <f t="shared" si="8"/>
        <v>1988</v>
      </c>
      <c r="BG41" s="31">
        <f t="shared" si="9"/>
        <v>3340</v>
      </c>
    </row>
    <row r="42" spans="1:59" s="32" customFormat="1" ht="23.25">
      <c r="A42" s="21">
        <v>38</v>
      </c>
      <c r="B42" s="22" t="s">
        <v>55</v>
      </c>
      <c r="C42" s="33"/>
      <c r="D42" s="34"/>
      <c r="E42" s="35">
        <v>0</v>
      </c>
      <c r="F42" s="26">
        <v>4133</v>
      </c>
      <c r="G42" s="27">
        <v>5049</v>
      </c>
      <c r="H42" s="28">
        <v>9182</v>
      </c>
      <c r="I42" s="29">
        <v>1044</v>
      </c>
      <c r="J42" s="30">
        <v>1335</v>
      </c>
      <c r="K42" s="31">
        <v>2379</v>
      </c>
      <c r="L42" s="29">
        <v>1062</v>
      </c>
      <c r="M42" s="30">
        <v>1294</v>
      </c>
      <c r="N42" s="31">
        <v>2356</v>
      </c>
      <c r="O42" s="29">
        <v>1041</v>
      </c>
      <c r="P42" s="30">
        <v>1184</v>
      </c>
      <c r="Q42" s="31">
        <v>2225</v>
      </c>
      <c r="R42" s="29">
        <v>986</v>
      </c>
      <c r="S42" s="30">
        <v>1236</v>
      </c>
      <c r="T42" s="31">
        <v>2222</v>
      </c>
      <c r="U42" s="29">
        <v>12953</v>
      </c>
      <c r="V42" s="30">
        <v>18574</v>
      </c>
      <c r="W42" s="31">
        <v>31527</v>
      </c>
      <c r="X42" s="29">
        <v>3655</v>
      </c>
      <c r="Y42" s="30">
        <v>5618</v>
      </c>
      <c r="Z42" s="31">
        <v>9273</v>
      </c>
      <c r="AA42" s="29">
        <v>3497</v>
      </c>
      <c r="AB42" s="30">
        <v>4621</v>
      </c>
      <c r="AC42" s="31">
        <v>8118</v>
      </c>
      <c r="AD42" s="29">
        <v>2273</v>
      </c>
      <c r="AE42" s="30">
        <v>3083</v>
      </c>
      <c r="AF42" s="31">
        <v>5356</v>
      </c>
      <c r="AG42" s="29">
        <v>1455</v>
      </c>
      <c r="AH42" s="30">
        <v>2159</v>
      </c>
      <c r="AI42" s="31">
        <v>3614</v>
      </c>
      <c r="AJ42" s="29">
        <v>1088</v>
      </c>
      <c r="AK42" s="30">
        <v>1605</v>
      </c>
      <c r="AL42" s="31">
        <v>2693</v>
      </c>
      <c r="AM42" s="29">
        <v>569</v>
      </c>
      <c r="AN42" s="30">
        <v>876</v>
      </c>
      <c r="AO42" s="31">
        <v>1445</v>
      </c>
      <c r="AP42" s="29">
        <v>244</v>
      </c>
      <c r="AQ42" s="30">
        <v>408</v>
      </c>
      <c r="AR42" s="31">
        <v>652</v>
      </c>
      <c r="AS42" s="29">
        <v>112</v>
      </c>
      <c r="AT42" s="30">
        <v>135</v>
      </c>
      <c r="AU42" s="31">
        <v>247</v>
      </c>
      <c r="AV42" s="29">
        <v>60</v>
      </c>
      <c r="AW42" s="30">
        <v>69</v>
      </c>
      <c r="AX42" s="31">
        <v>129</v>
      </c>
      <c r="AY42" s="29">
        <f t="shared" si="1"/>
        <v>7152</v>
      </c>
      <c r="AZ42" s="30">
        <f t="shared" si="2"/>
        <v>10239</v>
      </c>
      <c r="BA42" s="31">
        <f t="shared" si="3"/>
        <v>17391</v>
      </c>
      <c r="BB42" s="29">
        <f t="shared" si="4"/>
        <v>3728</v>
      </c>
      <c r="BC42" s="30">
        <f t="shared" si="5"/>
        <v>5242</v>
      </c>
      <c r="BD42" s="31">
        <f t="shared" si="6"/>
        <v>8970</v>
      </c>
      <c r="BE42" s="29">
        <f t="shared" si="7"/>
        <v>2073</v>
      </c>
      <c r="BF42" s="30">
        <f t="shared" si="8"/>
        <v>3093</v>
      </c>
      <c r="BG42" s="31">
        <f t="shared" si="9"/>
        <v>5166</v>
      </c>
    </row>
    <row r="43" spans="1:59" s="32" customFormat="1" ht="23.25">
      <c r="A43" s="21">
        <v>39</v>
      </c>
      <c r="B43" s="22" t="s">
        <v>54</v>
      </c>
      <c r="C43" s="33"/>
      <c r="D43" s="34"/>
      <c r="E43" s="35">
        <v>0</v>
      </c>
      <c r="F43" s="26">
        <v>1895</v>
      </c>
      <c r="G43" s="27">
        <v>2022</v>
      </c>
      <c r="H43" s="28">
        <v>3917</v>
      </c>
      <c r="I43" s="29">
        <v>269</v>
      </c>
      <c r="J43" s="30">
        <v>321</v>
      </c>
      <c r="K43" s="31">
        <v>590</v>
      </c>
      <c r="L43" s="29">
        <v>140</v>
      </c>
      <c r="M43" s="30">
        <v>418</v>
      </c>
      <c r="N43" s="31">
        <v>558</v>
      </c>
      <c r="O43" s="29">
        <v>269</v>
      </c>
      <c r="P43" s="30">
        <v>358</v>
      </c>
      <c r="Q43" s="31">
        <v>627</v>
      </c>
      <c r="R43" s="29">
        <v>1217</v>
      </c>
      <c r="S43" s="30">
        <v>925</v>
      </c>
      <c r="T43" s="31">
        <v>2142</v>
      </c>
      <c r="U43" s="29">
        <v>5606</v>
      </c>
      <c r="V43" s="30">
        <v>7559</v>
      </c>
      <c r="W43" s="31">
        <v>13165</v>
      </c>
      <c r="X43" s="29">
        <v>1425</v>
      </c>
      <c r="Y43" s="30">
        <v>1425</v>
      </c>
      <c r="Z43" s="31">
        <v>2850</v>
      </c>
      <c r="AA43" s="29">
        <v>1249</v>
      </c>
      <c r="AB43" s="30">
        <v>2150</v>
      </c>
      <c r="AC43" s="31">
        <v>3399</v>
      </c>
      <c r="AD43" s="29">
        <v>1236</v>
      </c>
      <c r="AE43" s="30">
        <v>1985</v>
      </c>
      <c r="AF43" s="31">
        <v>3221</v>
      </c>
      <c r="AG43" s="29">
        <v>459</v>
      </c>
      <c r="AH43" s="30">
        <v>956</v>
      </c>
      <c r="AI43" s="31">
        <v>1415</v>
      </c>
      <c r="AJ43" s="29">
        <v>712</v>
      </c>
      <c r="AK43" s="30">
        <v>759</v>
      </c>
      <c r="AL43" s="31">
        <v>1471</v>
      </c>
      <c r="AM43" s="29">
        <v>511</v>
      </c>
      <c r="AN43" s="30">
        <v>248</v>
      </c>
      <c r="AO43" s="31">
        <v>759</v>
      </c>
      <c r="AP43" s="29">
        <v>8</v>
      </c>
      <c r="AQ43" s="30">
        <v>20</v>
      </c>
      <c r="AR43" s="31">
        <v>28</v>
      </c>
      <c r="AS43" s="29">
        <v>4</v>
      </c>
      <c r="AT43" s="30">
        <v>15</v>
      </c>
      <c r="AU43" s="31">
        <v>19</v>
      </c>
      <c r="AV43" s="29">
        <v>2</v>
      </c>
      <c r="AW43" s="30">
        <v>1</v>
      </c>
      <c r="AX43" s="31">
        <v>3</v>
      </c>
      <c r="AY43" s="29">
        <f t="shared" si="1"/>
        <v>2674</v>
      </c>
      <c r="AZ43" s="30">
        <f t="shared" si="2"/>
        <v>3575</v>
      </c>
      <c r="BA43" s="31">
        <f t="shared" si="3"/>
        <v>6249</v>
      </c>
      <c r="BB43" s="29">
        <f t="shared" si="4"/>
        <v>1695</v>
      </c>
      <c r="BC43" s="30">
        <f>AE43+AH43</f>
        <v>2941</v>
      </c>
      <c r="BD43" s="31">
        <f t="shared" si="6"/>
        <v>4636</v>
      </c>
      <c r="BE43" s="29">
        <f>AJ43+AM43+AP43+AS43+AV43</f>
        <v>1237</v>
      </c>
      <c r="BF43" s="30">
        <f>AK43+AN43+AQ43+AT43+AW43</f>
        <v>1043</v>
      </c>
      <c r="BG43" s="31">
        <f t="shared" si="9"/>
        <v>2280</v>
      </c>
    </row>
    <row r="44" spans="1:59" s="32" customFormat="1" ht="23.25">
      <c r="A44" s="21">
        <v>40</v>
      </c>
      <c r="B44" s="22" t="s">
        <v>53</v>
      </c>
      <c r="C44" s="33"/>
      <c r="D44" s="34"/>
      <c r="E44" s="35">
        <v>0</v>
      </c>
      <c r="F44" s="26">
        <v>3041</v>
      </c>
      <c r="G44" s="27">
        <v>3819</v>
      </c>
      <c r="H44" s="28">
        <v>6860</v>
      </c>
      <c r="I44" s="29">
        <v>743</v>
      </c>
      <c r="J44" s="30">
        <v>967</v>
      </c>
      <c r="K44" s="31">
        <v>1710</v>
      </c>
      <c r="L44" s="29">
        <v>765</v>
      </c>
      <c r="M44" s="30">
        <v>961</v>
      </c>
      <c r="N44" s="31">
        <v>1726</v>
      </c>
      <c r="O44" s="29">
        <v>770</v>
      </c>
      <c r="P44" s="30">
        <v>983</v>
      </c>
      <c r="Q44" s="31">
        <v>1753</v>
      </c>
      <c r="R44" s="29">
        <v>763</v>
      </c>
      <c r="S44" s="30">
        <v>908</v>
      </c>
      <c r="T44" s="31">
        <v>1671</v>
      </c>
      <c r="U44" s="29">
        <v>12035</v>
      </c>
      <c r="V44" s="30">
        <v>16455</v>
      </c>
      <c r="W44" s="31">
        <v>28490</v>
      </c>
      <c r="X44" s="29">
        <v>3591</v>
      </c>
      <c r="Y44" s="30">
        <v>4566</v>
      </c>
      <c r="Z44" s="31">
        <v>8157</v>
      </c>
      <c r="AA44" s="29">
        <v>2748</v>
      </c>
      <c r="AB44" s="30">
        <v>3903</v>
      </c>
      <c r="AC44" s="31">
        <v>6651</v>
      </c>
      <c r="AD44" s="29">
        <v>2011</v>
      </c>
      <c r="AE44" s="30">
        <v>2755</v>
      </c>
      <c r="AF44" s="31">
        <v>4766</v>
      </c>
      <c r="AG44" s="29">
        <v>1312</v>
      </c>
      <c r="AH44" s="30">
        <v>1974</v>
      </c>
      <c r="AI44" s="31">
        <v>3286</v>
      </c>
      <c r="AJ44" s="29">
        <v>1091</v>
      </c>
      <c r="AK44" s="30">
        <v>1605</v>
      </c>
      <c r="AL44" s="31">
        <v>2696</v>
      </c>
      <c r="AM44" s="29">
        <v>754</v>
      </c>
      <c r="AN44" s="30">
        <v>954</v>
      </c>
      <c r="AO44" s="31">
        <v>1708</v>
      </c>
      <c r="AP44" s="29">
        <v>322</v>
      </c>
      <c r="AQ44" s="30">
        <v>459</v>
      </c>
      <c r="AR44" s="31">
        <v>781</v>
      </c>
      <c r="AS44" s="29">
        <v>132</v>
      </c>
      <c r="AT44" s="30">
        <v>173</v>
      </c>
      <c r="AU44" s="31">
        <v>305</v>
      </c>
      <c r="AV44" s="29">
        <v>74</v>
      </c>
      <c r="AW44" s="30">
        <v>66</v>
      </c>
      <c r="AX44" s="31">
        <v>140</v>
      </c>
      <c r="AY44" s="29">
        <f t="shared" si="1"/>
        <v>6339</v>
      </c>
      <c r="AZ44" s="30">
        <f t="shared" si="2"/>
        <v>8469</v>
      </c>
      <c r="BA44" s="31">
        <f t="shared" si="3"/>
        <v>14808</v>
      </c>
      <c r="BB44" s="29">
        <f t="shared" si="4"/>
        <v>3323</v>
      </c>
      <c r="BC44" s="30">
        <f t="shared" si="5"/>
        <v>4729</v>
      </c>
      <c r="BD44" s="31">
        <f t="shared" si="6"/>
        <v>8052</v>
      </c>
      <c r="BE44" s="29">
        <f t="shared" si="7"/>
        <v>2373</v>
      </c>
      <c r="BF44" s="30">
        <f t="shared" si="8"/>
        <v>3257</v>
      </c>
      <c r="BG44" s="31">
        <f t="shared" si="9"/>
        <v>5630</v>
      </c>
    </row>
    <row r="45" spans="1:59" s="32" customFormat="1" ht="23.25">
      <c r="A45" s="21">
        <v>41</v>
      </c>
      <c r="B45" s="22" t="s">
        <v>52</v>
      </c>
      <c r="C45" s="33"/>
      <c r="D45" s="34"/>
      <c r="E45" s="35">
        <v>0</v>
      </c>
      <c r="F45" s="26">
        <v>2454</v>
      </c>
      <c r="G45" s="27">
        <v>3196</v>
      </c>
      <c r="H45" s="28">
        <v>5650</v>
      </c>
      <c r="I45" s="29">
        <v>668</v>
      </c>
      <c r="J45" s="30">
        <v>792</v>
      </c>
      <c r="K45" s="31">
        <v>1460</v>
      </c>
      <c r="L45" s="29">
        <v>579</v>
      </c>
      <c r="M45" s="30">
        <v>826</v>
      </c>
      <c r="N45" s="31">
        <v>1405</v>
      </c>
      <c r="O45" s="29">
        <v>636</v>
      </c>
      <c r="P45" s="30">
        <v>814</v>
      </c>
      <c r="Q45" s="31">
        <v>1450</v>
      </c>
      <c r="R45" s="29">
        <v>571</v>
      </c>
      <c r="S45" s="30">
        <v>764</v>
      </c>
      <c r="T45" s="31">
        <v>1335</v>
      </c>
      <c r="U45" s="29">
        <v>9643</v>
      </c>
      <c r="V45" s="30">
        <v>13986</v>
      </c>
      <c r="W45" s="31">
        <v>23629</v>
      </c>
      <c r="X45" s="29">
        <v>2814</v>
      </c>
      <c r="Y45" s="30">
        <v>3760</v>
      </c>
      <c r="Z45" s="31">
        <v>6574</v>
      </c>
      <c r="AA45" s="29">
        <v>2322</v>
      </c>
      <c r="AB45" s="30">
        <v>3318</v>
      </c>
      <c r="AC45" s="31">
        <v>5640</v>
      </c>
      <c r="AD45" s="29">
        <v>1672</v>
      </c>
      <c r="AE45" s="30">
        <v>2435</v>
      </c>
      <c r="AF45" s="31">
        <v>4107</v>
      </c>
      <c r="AG45" s="29">
        <v>1222</v>
      </c>
      <c r="AH45" s="30">
        <v>1836</v>
      </c>
      <c r="AI45" s="31">
        <v>3058</v>
      </c>
      <c r="AJ45" s="29">
        <v>848</v>
      </c>
      <c r="AK45" s="30">
        <v>1367</v>
      </c>
      <c r="AL45" s="31">
        <v>2215</v>
      </c>
      <c r="AM45" s="29">
        <v>431</v>
      </c>
      <c r="AN45" s="30">
        <v>757</v>
      </c>
      <c r="AO45" s="31">
        <v>1188</v>
      </c>
      <c r="AP45" s="29">
        <v>223</v>
      </c>
      <c r="AQ45" s="30">
        <v>350</v>
      </c>
      <c r="AR45" s="31">
        <v>573</v>
      </c>
      <c r="AS45" s="29">
        <v>79</v>
      </c>
      <c r="AT45" s="30">
        <v>122</v>
      </c>
      <c r="AU45" s="31">
        <v>201</v>
      </c>
      <c r="AV45" s="29">
        <v>32</v>
      </c>
      <c r="AW45" s="30">
        <v>41</v>
      </c>
      <c r="AX45" s="31">
        <v>73</v>
      </c>
      <c r="AY45" s="29">
        <f t="shared" si="1"/>
        <v>5136</v>
      </c>
      <c r="AZ45" s="30">
        <f t="shared" si="2"/>
        <v>7078</v>
      </c>
      <c r="BA45" s="31">
        <f t="shared" si="3"/>
        <v>12214</v>
      </c>
      <c r="BB45" s="29">
        <f t="shared" si="4"/>
        <v>2894</v>
      </c>
      <c r="BC45" s="30">
        <f t="shared" si="5"/>
        <v>4271</v>
      </c>
      <c r="BD45" s="31">
        <f t="shared" si="6"/>
        <v>7165</v>
      </c>
      <c r="BE45" s="29">
        <f t="shared" si="7"/>
        <v>1613</v>
      </c>
      <c r="BF45" s="30">
        <f t="shared" si="8"/>
        <v>2637</v>
      </c>
      <c r="BG45" s="31">
        <f t="shared" si="9"/>
        <v>4250</v>
      </c>
    </row>
    <row r="46" spans="1:59" s="32" customFormat="1" ht="23.25">
      <c r="A46" s="151">
        <v>42</v>
      </c>
      <c r="B46" s="22" t="s">
        <v>51</v>
      </c>
      <c r="C46" s="33"/>
      <c r="D46" s="34"/>
      <c r="E46" s="35">
        <v>0</v>
      </c>
      <c r="F46" s="26">
        <v>3100</v>
      </c>
      <c r="G46" s="27">
        <v>3530</v>
      </c>
      <c r="H46" s="28">
        <v>6630</v>
      </c>
      <c r="I46" s="29">
        <v>756</v>
      </c>
      <c r="J46" s="30">
        <v>932</v>
      </c>
      <c r="K46" s="31">
        <v>1688</v>
      </c>
      <c r="L46" s="29">
        <v>773</v>
      </c>
      <c r="M46" s="30">
        <v>910</v>
      </c>
      <c r="N46" s="31">
        <v>1683</v>
      </c>
      <c r="O46" s="29">
        <v>721</v>
      </c>
      <c r="P46" s="30">
        <v>958</v>
      </c>
      <c r="Q46" s="31">
        <v>1679</v>
      </c>
      <c r="R46" s="29">
        <v>850</v>
      </c>
      <c r="S46" s="30">
        <v>730</v>
      </c>
      <c r="T46" s="31">
        <v>1580</v>
      </c>
      <c r="U46" s="29">
        <v>10097</v>
      </c>
      <c r="V46" s="30">
        <v>14262</v>
      </c>
      <c r="W46" s="31">
        <v>24359</v>
      </c>
      <c r="X46" s="29">
        <v>3255</v>
      </c>
      <c r="Y46" s="30">
        <v>4397</v>
      </c>
      <c r="Z46" s="31">
        <v>7652</v>
      </c>
      <c r="AA46" s="29">
        <v>2628</v>
      </c>
      <c r="AB46" s="30">
        <v>3625</v>
      </c>
      <c r="AC46" s="31">
        <v>6253</v>
      </c>
      <c r="AD46" s="29">
        <v>1810</v>
      </c>
      <c r="AE46" s="30">
        <v>2545</v>
      </c>
      <c r="AF46" s="31">
        <v>4355</v>
      </c>
      <c r="AG46" s="29">
        <v>1167</v>
      </c>
      <c r="AH46" s="30">
        <v>1592</v>
      </c>
      <c r="AI46" s="31">
        <v>2759</v>
      </c>
      <c r="AJ46" s="29">
        <v>732</v>
      </c>
      <c r="AK46" s="30">
        <v>1175</v>
      </c>
      <c r="AL46" s="31">
        <v>1907</v>
      </c>
      <c r="AM46" s="29">
        <v>347</v>
      </c>
      <c r="AN46" s="30">
        <v>587</v>
      </c>
      <c r="AO46" s="31">
        <v>934</v>
      </c>
      <c r="AP46" s="29">
        <v>115</v>
      </c>
      <c r="AQ46" s="30">
        <v>255</v>
      </c>
      <c r="AR46" s="31">
        <v>370</v>
      </c>
      <c r="AS46" s="29">
        <v>24</v>
      </c>
      <c r="AT46" s="30">
        <v>68</v>
      </c>
      <c r="AU46" s="31">
        <v>92</v>
      </c>
      <c r="AV46" s="29">
        <v>19</v>
      </c>
      <c r="AW46" s="30">
        <v>18</v>
      </c>
      <c r="AX46" s="31">
        <v>37</v>
      </c>
      <c r="AY46" s="29">
        <v>5883</v>
      </c>
      <c r="AZ46" s="30">
        <v>8022</v>
      </c>
      <c r="BA46" s="31">
        <v>13905</v>
      </c>
      <c r="BB46" s="29">
        <v>2977</v>
      </c>
      <c r="BC46" s="30">
        <v>4137</v>
      </c>
      <c r="BD46" s="31">
        <v>7114</v>
      </c>
      <c r="BE46" s="29">
        <v>1237</v>
      </c>
      <c r="BF46" s="30">
        <v>2103</v>
      </c>
      <c r="BG46" s="31">
        <v>3340</v>
      </c>
    </row>
    <row r="47" spans="1:59" s="32" customFormat="1" ht="23.25">
      <c r="A47" s="21">
        <v>43</v>
      </c>
      <c r="B47" s="22" t="s">
        <v>50</v>
      </c>
      <c r="C47" s="33"/>
      <c r="D47" s="34"/>
      <c r="E47" s="35">
        <v>0</v>
      </c>
      <c r="F47" s="26">
        <v>2306</v>
      </c>
      <c r="G47" s="27">
        <v>2991</v>
      </c>
      <c r="H47" s="28">
        <v>5297</v>
      </c>
      <c r="I47" s="29">
        <v>595</v>
      </c>
      <c r="J47" s="30">
        <v>778</v>
      </c>
      <c r="K47" s="31">
        <v>1373</v>
      </c>
      <c r="L47" s="29">
        <v>615</v>
      </c>
      <c r="M47" s="30">
        <v>746</v>
      </c>
      <c r="N47" s="31">
        <v>1361</v>
      </c>
      <c r="O47" s="29">
        <v>575</v>
      </c>
      <c r="P47" s="30">
        <v>716</v>
      </c>
      <c r="Q47" s="31">
        <v>1291</v>
      </c>
      <c r="R47" s="29">
        <v>521</v>
      </c>
      <c r="S47" s="30">
        <v>751</v>
      </c>
      <c r="T47" s="31">
        <v>1272</v>
      </c>
      <c r="U47" s="29">
        <v>7240</v>
      </c>
      <c r="V47" s="30">
        <v>9742</v>
      </c>
      <c r="W47" s="31">
        <v>16982</v>
      </c>
      <c r="X47" s="29">
        <v>2642</v>
      </c>
      <c r="Y47" s="30">
        <v>3368</v>
      </c>
      <c r="Z47" s="31">
        <v>6010</v>
      </c>
      <c r="AA47" s="29">
        <v>1943</v>
      </c>
      <c r="AB47" s="30">
        <v>2504</v>
      </c>
      <c r="AC47" s="31">
        <v>4447</v>
      </c>
      <c r="AD47" s="29">
        <v>1183</v>
      </c>
      <c r="AE47" s="30">
        <v>1533</v>
      </c>
      <c r="AF47" s="31">
        <v>2716</v>
      </c>
      <c r="AG47" s="29">
        <v>695</v>
      </c>
      <c r="AH47" s="30">
        <v>1007</v>
      </c>
      <c r="AI47" s="31">
        <v>1702</v>
      </c>
      <c r="AJ47" s="29">
        <v>469</v>
      </c>
      <c r="AK47" s="30">
        <v>708</v>
      </c>
      <c r="AL47" s="31">
        <v>1177</v>
      </c>
      <c r="AM47" s="29">
        <v>209</v>
      </c>
      <c r="AN47" s="30">
        <v>401</v>
      </c>
      <c r="AO47" s="31">
        <v>610</v>
      </c>
      <c r="AP47" s="29">
        <v>61</v>
      </c>
      <c r="AQ47" s="30">
        <v>171</v>
      </c>
      <c r="AR47" s="31">
        <v>232</v>
      </c>
      <c r="AS47" s="29">
        <v>31</v>
      </c>
      <c r="AT47" s="30">
        <v>41</v>
      </c>
      <c r="AU47" s="31">
        <v>72</v>
      </c>
      <c r="AV47" s="29">
        <v>7</v>
      </c>
      <c r="AW47" s="30">
        <v>9</v>
      </c>
      <c r="AX47" s="31">
        <v>16</v>
      </c>
      <c r="AY47" s="29">
        <f t="shared" si="1"/>
        <v>4585</v>
      </c>
      <c r="AZ47" s="30">
        <f t="shared" si="2"/>
        <v>5872</v>
      </c>
      <c r="BA47" s="31">
        <f t="shared" si="3"/>
        <v>10457</v>
      </c>
      <c r="BB47" s="29">
        <f t="shared" si="4"/>
        <v>1878</v>
      </c>
      <c r="BC47" s="30">
        <f t="shared" si="5"/>
        <v>2540</v>
      </c>
      <c r="BD47" s="31">
        <f t="shared" si="6"/>
        <v>4418</v>
      </c>
      <c r="BE47" s="29">
        <f t="shared" si="7"/>
        <v>777</v>
      </c>
      <c r="BF47" s="30">
        <f t="shared" si="8"/>
        <v>1330</v>
      </c>
      <c r="BG47" s="31">
        <f t="shared" si="9"/>
        <v>2107</v>
      </c>
    </row>
    <row r="48" spans="1:59" s="32" customFormat="1" ht="23.25">
      <c r="A48" s="21">
        <v>44</v>
      </c>
      <c r="B48" s="22" t="s">
        <v>19</v>
      </c>
      <c r="C48" s="33"/>
      <c r="D48" s="34"/>
      <c r="E48" s="35">
        <v>0</v>
      </c>
      <c r="F48" s="26">
        <v>3410</v>
      </c>
      <c r="G48" s="27">
        <v>4289</v>
      </c>
      <c r="H48" s="28">
        <v>7699</v>
      </c>
      <c r="I48" s="29">
        <v>860</v>
      </c>
      <c r="J48" s="30">
        <v>1102</v>
      </c>
      <c r="K48" s="31">
        <v>1962</v>
      </c>
      <c r="L48" s="29">
        <v>870</v>
      </c>
      <c r="M48" s="30">
        <v>1061</v>
      </c>
      <c r="N48" s="31">
        <v>1931</v>
      </c>
      <c r="O48" s="29">
        <v>848</v>
      </c>
      <c r="P48" s="30">
        <v>1042</v>
      </c>
      <c r="Q48" s="31">
        <v>1890</v>
      </c>
      <c r="R48" s="29">
        <v>832</v>
      </c>
      <c r="S48" s="30">
        <v>1084</v>
      </c>
      <c r="T48" s="31">
        <v>1916</v>
      </c>
      <c r="U48" s="29">
        <v>11554</v>
      </c>
      <c r="V48" s="30">
        <v>15931</v>
      </c>
      <c r="W48" s="31">
        <v>27485</v>
      </c>
      <c r="X48" s="29">
        <v>3609</v>
      </c>
      <c r="Y48" s="30">
        <v>4771</v>
      </c>
      <c r="Z48" s="31">
        <v>8380</v>
      </c>
      <c r="AA48" s="29">
        <v>2943</v>
      </c>
      <c r="AB48" s="30">
        <v>3949</v>
      </c>
      <c r="AC48" s="31">
        <v>6892</v>
      </c>
      <c r="AD48" s="29">
        <v>1871</v>
      </c>
      <c r="AE48" s="30">
        <v>2647</v>
      </c>
      <c r="AF48" s="31">
        <v>4518</v>
      </c>
      <c r="AG48" s="29">
        <v>1377</v>
      </c>
      <c r="AH48" s="30">
        <v>1924</v>
      </c>
      <c r="AI48" s="31">
        <v>3301</v>
      </c>
      <c r="AJ48" s="29">
        <v>979</v>
      </c>
      <c r="AK48" s="30">
        <v>1450</v>
      </c>
      <c r="AL48" s="31">
        <v>2429</v>
      </c>
      <c r="AM48" s="29">
        <v>449</v>
      </c>
      <c r="AN48" s="30">
        <v>727</v>
      </c>
      <c r="AO48" s="31">
        <v>1176</v>
      </c>
      <c r="AP48" s="29">
        <v>200</v>
      </c>
      <c r="AQ48" s="30">
        <v>320</v>
      </c>
      <c r="AR48" s="31">
        <v>520</v>
      </c>
      <c r="AS48" s="29">
        <v>96</v>
      </c>
      <c r="AT48" s="30">
        <v>112</v>
      </c>
      <c r="AU48" s="31">
        <v>208</v>
      </c>
      <c r="AV48" s="29">
        <v>30</v>
      </c>
      <c r="AW48" s="30">
        <v>31</v>
      </c>
      <c r="AX48" s="31">
        <v>61</v>
      </c>
      <c r="AY48" s="29">
        <f t="shared" si="1"/>
        <v>6552</v>
      </c>
      <c r="AZ48" s="30">
        <f t="shared" si="2"/>
        <v>8720</v>
      </c>
      <c r="BA48" s="31">
        <f t="shared" si="3"/>
        <v>15272</v>
      </c>
      <c r="BB48" s="29">
        <f t="shared" si="4"/>
        <v>3248</v>
      </c>
      <c r="BC48" s="30">
        <f t="shared" si="5"/>
        <v>4571</v>
      </c>
      <c r="BD48" s="31">
        <f t="shared" si="6"/>
        <v>7819</v>
      </c>
      <c r="BE48" s="29">
        <f t="shared" si="7"/>
        <v>1754</v>
      </c>
      <c r="BF48" s="30">
        <f t="shared" si="8"/>
        <v>2640</v>
      </c>
      <c r="BG48" s="31">
        <f t="shared" si="9"/>
        <v>4394</v>
      </c>
    </row>
    <row r="49" spans="1:59" s="32" customFormat="1" ht="23.25">
      <c r="A49" s="21">
        <v>45</v>
      </c>
      <c r="B49" s="22" t="s">
        <v>20</v>
      </c>
      <c r="C49" s="33"/>
      <c r="D49" s="34"/>
      <c r="E49" s="35">
        <v>0</v>
      </c>
      <c r="F49" s="26">
        <v>5514</v>
      </c>
      <c r="G49" s="27">
        <v>6953</v>
      </c>
      <c r="H49" s="28">
        <v>12467</v>
      </c>
      <c r="I49" s="29">
        <v>1427</v>
      </c>
      <c r="J49" s="30">
        <v>1749</v>
      </c>
      <c r="K49" s="31">
        <v>3176</v>
      </c>
      <c r="L49" s="29">
        <v>1393</v>
      </c>
      <c r="M49" s="30">
        <v>1782</v>
      </c>
      <c r="N49" s="31">
        <v>3175</v>
      </c>
      <c r="O49" s="29">
        <v>1350</v>
      </c>
      <c r="P49" s="30">
        <v>1698</v>
      </c>
      <c r="Q49" s="31">
        <v>3048</v>
      </c>
      <c r="R49" s="29">
        <v>1344</v>
      </c>
      <c r="S49" s="30">
        <v>1724</v>
      </c>
      <c r="T49" s="31">
        <v>3068</v>
      </c>
      <c r="U49" s="29">
        <v>16047</v>
      </c>
      <c r="V49" s="30">
        <v>23030</v>
      </c>
      <c r="W49" s="31">
        <v>39077</v>
      </c>
      <c r="X49" s="29">
        <v>5613</v>
      </c>
      <c r="Y49" s="30">
        <v>7360</v>
      </c>
      <c r="Z49" s="31">
        <v>12973</v>
      </c>
      <c r="AA49" s="29">
        <v>4091</v>
      </c>
      <c r="AB49" s="30">
        <v>5808</v>
      </c>
      <c r="AC49" s="31">
        <v>9899</v>
      </c>
      <c r="AD49" s="29">
        <v>2618</v>
      </c>
      <c r="AE49" s="30">
        <v>3824</v>
      </c>
      <c r="AF49" s="31">
        <v>6442</v>
      </c>
      <c r="AG49" s="29">
        <v>1704</v>
      </c>
      <c r="AH49" s="30">
        <v>2468</v>
      </c>
      <c r="AI49" s="31">
        <v>4172</v>
      </c>
      <c r="AJ49" s="29">
        <v>1151</v>
      </c>
      <c r="AK49" s="30">
        <v>1944</v>
      </c>
      <c r="AL49" s="31">
        <v>3095</v>
      </c>
      <c r="AM49" s="29">
        <v>513</v>
      </c>
      <c r="AN49" s="30">
        <v>999</v>
      </c>
      <c r="AO49" s="31">
        <v>1512</v>
      </c>
      <c r="AP49" s="29">
        <v>215</v>
      </c>
      <c r="AQ49" s="30">
        <v>462</v>
      </c>
      <c r="AR49" s="31">
        <v>677</v>
      </c>
      <c r="AS49" s="29">
        <v>92</v>
      </c>
      <c r="AT49" s="30">
        <v>121</v>
      </c>
      <c r="AU49" s="31">
        <v>213</v>
      </c>
      <c r="AV49" s="29">
        <v>50</v>
      </c>
      <c r="AW49" s="30">
        <v>44</v>
      </c>
      <c r="AX49" s="31">
        <v>94</v>
      </c>
      <c r="AY49" s="29">
        <f t="shared" si="1"/>
        <v>9704</v>
      </c>
      <c r="AZ49" s="30">
        <f t="shared" si="2"/>
        <v>13168</v>
      </c>
      <c r="BA49" s="31">
        <f t="shared" si="3"/>
        <v>22872</v>
      </c>
      <c r="BB49" s="29">
        <f t="shared" si="4"/>
        <v>4322</v>
      </c>
      <c r="BC49" s="30">
        <f t="shared" si="5"/>
        <v>6292</v>
      </c>
      <c r="BD49" s="31">
        <f t="shared" si="6"/>
        <v>10614</v>
      </c>
      <c r="BE49" s="29">
        <f t="shared" si="7"/>
        <v>2021</v>
      </c>
      <c r="BF49" s="30">
        <f t="shared" si="8"/>
        <v>3570</v>
      </c>
      <c r="BG49" s="31">
        <f t="shared" si="9"/>
        <v>5591</v>
      </c>
    </row>
    <row r="50" spans="1:59" s="32" customFormat="1" ht="23.25">
      <c r="A50" s="21">
        <v>46</v>
      </c>
      <c r="B50" s="22" t="s">
        <v>21</v>
      </c>
      <c r="C50" s="33"/>
      <c r="D50" s="34"/>
      <c r="E50" s="35">
        <v>0</v>
      </c>
      <c r="F50" s="26">
        <v>4076</v>
      </c>
      <c r="G50" s="27">
        <v>5165</v>
      </c>
      <c r="H50" s="28">
        <v>9241</v>
      </c>
      <c r="I50" s="29">
        <v>1096</v>
      </c>
      <c r="J50" s="30">
        <v>1321</v>
      </c>
      <c r="K50" s="31">
        <v>2417</v>
      </c>
      <c r="L50" s="29">
        <v>1029</v>
      </c>
      <c r="M50" s="30">
        <v>1283</v>
      </c>
      <c r="N50" s="31">
        <v>2312</v>
      </c>
      <c r="O50" s="29">
        <v>980</v>
      </c>
      <c r="P50" s="30">
        <v>1301</v>
      </c>
      <c r="Q50" s="31">
        <v>2281</v>
      </c>
      <c r="R50" s="29">
        <v>971</v>
      </c>
      <c r="S50" s="30">
        <v>1260</v>
      </c>
      <c r="T50" s="31">
        <v>2231</v>
      </c>
      <c r="U50" s="29">
        <v>10696</v>
      </c>
      <c r="V50" s="30">
        <v>15045</v>
      </c>
      <c r="W50" s="31">
        <v>25741</v>
      </c>
      <c r="X50" s="29">
        <v>3963</v>
      </c>
      <c r="Y50" s="30">
        <v>5242</v>
      </c>
      <c r="Z50" s="31">
        <v>9205</v>
      </c>
      <c r="AA50" s="29">
        <v>2901</v>
      </c>
      <c r="AB50" s="30">
        <v>3775</v>
      </c>
      <c r="AC50" s="31">
        <v>6676</v>
      </c>
      <c r="AD50" s="29">
        <v>1718</v>
      </c>
      <c r="AE50" s="30">
        <v>2506</v>
      </c>
      <c r="AF50" s="31">
        <v>4224</v>
      </c>
      <c r="AG50" s="29">
        <v>1064</v>
      </c>
      <c r="AH50" s="30">
        <v>1647</v>
      </c>
      <c r="AI50" s="31">
        <v>2711</v>
      </c>
      <c r="AJ50" s="29">
        <v>691</v>
      </c>
      <c r="AK50" s="30">
        <v>1094</v>
      </c>
      <c r="AL50" s="31">
        <v>1785</v>
      </c>
      <c r="AM50" s="29">
        <v>260</v>
      </c>
      <c r="AN50" s="30">
        <v>557</v>
      </c>
      <c r="AO50" s="31">
        <v>817</v>
      </c>
      <c r="AP50" s="29">
        <v>78</v>
      </c>
      <c r="AQ50" s="30">
        <v>178</v>
      </c>
      <c r="AR50" s="31">
        <v>256</v>
      </c>
      <c r="AS50" s="29">
        <v>18</v>
      </c>
      <c r="AT50" s="30">
        <v>39</v>
      </c>
      <c r="AU50" s="31">
        <v>57</v>
      </c>
      <c r="AV50" s="29">
        <v>3</v>
      </c>
      <c r="AW50" s="30">
        <v>7</v>
      </c>
      <c r="AX50" s="31">
        <v>10</v>
      </c>
      <c r="AY50" s="29">
        <f t="shared" si="1"/>
        <v>6864</v>
      </c>
      <c r="AZ50" s="30">
        <f t="shared" si="2"/>
        <v>9017</v>
      </c>
      <c r="BA50" s="31">
        <f t="shared" si="3"/>
        <v>15881</v>
      </c>
      <c r="BB50" s="29">
        <f t="shared" si="4"/>
        <v>2782</v>
      </c>
      <c r="BC50" s="30">
        <f t="shared" si="5"/>
        <v>4153</v>
      </c>
      <c r="BD50" s="31">
        <f t="shared" si="6"/>
        <v>6935</v>
      </c>
      <c r="BE50" s="29">
        <f t="shared" si="7"/>
        <v>1050</v>
      </c>
      <c r="BF50" s="30">
        <f t="shared" si="8"/>
        <v>1875</v>
      </c>
      <c r="BG50" s="31">
        <f t="shared" si="9"/>
        <v>2925</v>
      </c>
    </row>
    <row r="51" spans="1:59" s="32" customFormat="1" ht="23.25">
      <c r="A51" s="21">
        <v>47</v>
      </c>
      <c r="B51" s="22" t="s">
        <v>22</v>
      </c>
      <c r="C51" s="33"/>
      <c r="D51" s="34"/>
      <c r="E51" s="35">
        <v>0</v>
      </c>
      <c r="F51" s="26">
        <v>4408</v>
      </c>
      <c r="G51" s="27">
        <v>5450</v>
      </c>
      <c r="H51" s="28">
        <v>9858</v>
      </c>
      <c r="I51" s="29">
        <v>1160</v>
      </c>
      <c r="J51" s="30">
        <v>1399</v>
      </c>
      <c r="K51" s="31">
        <v>2559</v>
      </c>
      <c r="L51" s="29">
        <v>1173</v>
      </c>
      <c r="M51" s="30">
        <v>1461</v>
      </c>
      <c r="N51" s="31">
        <v>2634</v>
      </c>
      <c r="O51" s="29">
        <v>1067</v>
      </c>
      <c r="P51" s="30">
        <v>1362</v>
      </c>
      <c r="Q51" s="31">
        <v>2429</v>
      </c>
      <c r="R51" s="29">
        <v>1008</v>
      </c>
      <c r="S51" s="30">
        <v>1228</v>
      </c>
      <c r="T51" s="31">
        <v>2236</v>
      </c>
      <c r="U51" s="29">
        <v>11647</v>
      </c>
      <c r="V51" s="30">
        <v>15602</v>
      </c>
      <c r="W51" s="31">
        <v>27249</v>
      </c>
      <c r="X51" s="29">
        <v>4380</v>
      </c>
      <c r="Y51" s="30">
        <v>5499</v>
      </c>
      <c r="Z51" s="31">
        <v>9879</v>
      </c>
      <c r="AA51" s="29">
        <v>3164</v>
      </c>
      <c r="AB51" s="30">
        <v>4104</v>
      </c>
      <c r="AC51" s="31">
        <v>7268</v>
      </c>
      <c r="AD51" s="29">
        <v>1876</v>
      </c>
      <c r="AE51" s="30">
        <v>2451</v>
      </c>
      <c r="AF51" s="31">
        <v>4327</v>
      </c>
      <c r="AG51" s="29">
        <v>1100</v>
      </c>
      <c r="AH51" s="30">
        <v>1554</v>
      </c>
      <c r="AI51" s="31">
        <v>2654</v>
      </c>
      <c r="AJ51" s="29">
        <v>673</v>
      </c>
      <c r="AK51" s="30">
        <v>1143</v>
      </c>
      <c r="AL51" s="31">
        <v>1816</v>
      </c>
      <c r="AM51" s="29">
        <v>305</v>
      </c>
      <c r="AN51" s="30">
        <v>594</v>
      </c>
      <c r="AO51" s="31">
        <v>899</v>
      </c>
      <c r="AP51" s="29">
        <v>83</v>
      </c>
      <c r="AQ51" s="30">
        <v>175</v>
      </c>
      <c r="AR51" s="31">
        <v>258</v>
      </c>
      <c r="AS51" s="29">
        <v>44</v>
      </c>
      <c r="AT51" s="30">
        <v>65</v>
      </c>
      <c r="AU51" s="31">
        <v>109</v>
      </c>
      <c r="AV51" s="29">
        <v>22</v>
      </c>
      <c r="AW51" s="30">
        <v>17</v>
      </c>
      <c r="AX51" s="31">
        <v>39</v>
      </c>
      <c r="AY51" s="29">
        <v>7544</v>
      </c>
      <c r="AZ51" s="30">
        <v>9603</v>
      </c>
      <c r="BA51" s="31">
        <v>17147</v>
      </c>
      <c r="BB51" s="29">
        <v>2976</v>
      </c>
      <c r="BC51" s="30">
        <v>4005</v>
      </c>
      <c r="BD51" s="31">
        <v>6981</v>
      </c>
      <c r="BE51" s="29">
        <v>1127</v>
      </c>
      <c r="BF51" s="30">
        <v>1994</v>
      </c>
      <c r="BG51" s="31">
        <v>3121</v>
      </c>
    </row>
    <row r="52" spans="1:59" s="32" customFormat="1" ht="23.25">
      <c r="A52" s="21">
        <v>48</v>
      </c>
      <c r="B52" s="22" t="s">
        <v>23</v>
      </c>
      <c r="C52" s="33"/>
      <c r="D52" s="34"/>
      <c r="E52" s="35">
        <v>0</v>
      </c>
      <c r="F52" s="26">
        <f>I52+L52+O52+R52</f>
        <v>2946</v>
      </c>
      <c r="G52" s="27">
        <f>J52+M52+P52+S52</f>
        <v>3327</v>
      </c>
      <c r="H52" s="28">
        <f>F52+G52</f>
        <v>6273</v>
      </c>
      <c r="I52" s="29">
        <v>779</v>
      </c>
      <c r="J52" s="30">
        <v>927</v>
      </c>
      <c r="K52" s="31">
        <f>I52+J52</f>
        <v>1706</v>
      </c>
      <c r="L52" s="29">
        <v>765</v>
      </c>
      <c r="M52" s="30">
        <v>847</v>
      </c>
      <c r="N52" s="31">
        <f>L52+M52</f>
        <v>1612</v>
      </c>
      <c r="O52" s="29">
        <v>706</v>
      </c>
      <c r="P52" s="30">
        <v>771</v>
      </c>
      <c r="Q52" s="31">
        <f>O52+P52</f>
        <v>1477</v>
      </c>
      <c r="R52" s="29">
        <v>696</v>
      </c>
      <c r="S52" s="30">
        <v>782</v>
      </c>
      <c r="T52" s="31">
        <f>R52+S52</f>
        <v>1478</v>
      </c>
      <c r="U52" s="29">
        <f>X52+AA52+AD52+AG52+AJ52+AM52+AP52+AS52+AV52</f>
        <v>7336</v>
      </c>
      <c r="V52" s="30">
        <f>Y52+AB52+AE52+AH52+AK52+AN52+AQ52+AT52+AW52</f>
        <v>9851</v>
      </c>
      <c r="W52" s="31">
        <f>U52+V52</f>
        <v>17187</v>
      </c>
      <c r="X52" s="29">
        <v>2754</v>
      </c>
      <c r="Y52" s="30">
        <v>3355</v>
      </c>
      <c r="Z52" s="31">
        <f>X52+Y52</f>
        <v>6109</v>
      </c>
      <c r="AA52" s="29">
        <v>2007</v>
      </c>
      <c r="AB52" s="30">
        <v>2542</v>
      </c>
      <c r="AC52" s="31">
        <f>AA52+AB52</f>
        <v>4549</v>
      </c>
      <c r="AD52" s="29">
        <v>1139</v>
      </c>
      <c r="AE52" s="30">
        <v>1597</v>
      </c>
      <c r="AF52" s="31">
        <f>AD52+AE52</f>
        <v>2736</v>
      </c>
      <c r="AG52" s="29">
        <v>722</v>
      </c>
      <c r="AH52" s="30">
        <v>1040</v>
      </c>
      <c r="AI52" s="31">
        <f>AG52+AH52</f>
        <v>1762</v>
      </c>
      <c r="AJ52" s="29">
        <v>414</v>
      </c>
      <c r="AK52" s="30">
        <v>761</v>
      </c>
      <c r="AL52" s="31">
        <f>AJ52+AK52</f>
        <v>1175</v>
      </c>
      <c r="AM52" s="29">
        <v>195</v>
      </c>
      <c r="AN52" s="30">
        <v>349</v>
      </c>
      <c r="AO52" s="31">
        <f>AM52+AN52</f>
        <v>544</v>
      </c>
      <c r="AP52" s="29">
        <v>75</v>
      </c>
      <c r="AQ52" s="30">
        <v>155</v>
      </c>
      <c r="AR52" s="31">
        <f>AP52+AQ52</f>
        <v>230</v>
      </c>
      <c r="AS52" s="29">
        <v>22</v>
      </c>
      <c r="AT52" s="30">
        <v>37</v>
      </c>
      <c r="AU52" s="31">
        <f>AS52+AT52</f>
        <v>59</v>
      </c>
      <c r="AV52" s="29">
        <v>8</v>
      </c>
      <c r="AW52" s="30">
        <v>15</v>
      </c>
      <c r="AX52" s="31">
        <f>AV52+AW52</f>
        <v>23</v>
      </c>
      <c r="AY52" s="29">
        <f t="shared" ref="AY52" si="19">X52+AA52</f>
        <v>4761</v>
      </c>
      <c r="AZ52" s="30">
        <f t="shared" ref="AZ52" si="20">Y52+AB52</f>
        <v>5897</v>
      </c>
      <c r="BA52" s="31">
        <f t="shared" ref="BA52" si="21">AY52+AZ52</f>
        <v>10658</v>
      </c>
      <c r="BB52" s="29">
        <f t="shared" ref="BB52" si="22">AD52+AG52</f>
        <v>1861</v>
      </c>
      <c r="BC52" s="30">
        <f t="shared" ref="BC52" si="23">AE52+AH52</f>
        <v>2637</v>
      </c>
      <c r="BD52" s="31">
        <f t="shared" ref="BD52" si="24">BB52+BC52</f>
        <v>4498</v>
      </c>
      <c r="BE52" s="29">
        <f t="shared" ref="BE52" si="25">AJ52+AM52+AP52+AS52+AV52</f>
        <v>714</v>
      </c>
      <c r="BF52" s="30">
        <f t="shared" ref="BF52" si="26">AK52+AN52+AQ52+AT52+AW52</f>
        <v>1317</v>
      </c>
      <c r="BG52" s="31">
        <f t="shared" ref="BG52" si="27">BE52+BF52</f>
        <v>2031</v>
      </c>
    </row>
    <row r="53" spans="1:59" s="32" customFormat="1" ht="23.25">
      <c r="A53" s="21">
        <v>49</v>
      </c>
      <c r="B53" s="22" t="s">
        <v>24</v>
      </c>
      <c r="C53" s="33"/>
      <c r="D53" s="34"/>
      <c r="E53" s="35">
        <v>0</v>
      </c>
      <c r="F53" s="26">
        <v>2196</v>
      </c>
      <c r="G53" s="27">
        <v>2597</v>
      </c>
      <c r="H53" s="28">
        <v>4793</v>
      </c>
      <c r="I53" s="29">
        <v>587</v>
      </c>
      <c r="J53" s="30">
        <v>691</v>
      </c>
      <c r="K53" s="31">
        <v>1278</v>
      </c>
      <c r="L53" s="29">
        <v>526</v>
      </c>
      <c r="M53" s="30">
        <v>660</v>
      </c>
      <c r="N53" s="31">
        <v>1186</v>
      </c>
      <c r="O53" s="29">
        <v>567</v>
      </c>
      <c r="P53" s="30">
        <v>598</v>
      </c>
      <c r="Q53" s="31">
        <v>1165</v>
      </c>
      <c r="R53" s="29">
        <v>516</v>
      </c>
      <c r="S53" s="30">
        <v>648</v>
      </c>
      <c r="T53" s="31">
        <v>1164</v>
      </c>
      <c r="U53" s="29">
        <v>7089</v>
      </c>
      <c r="V53" s="30">
        <v>9621</v>
      </c>
      <c r="W53" s="31">
        <v>16710</v>
      </c>
      <c r="X53" s="29">
        <v>2252</v>
      </c>
      <c r="Y53" s="30">
        <v>2881</v>
      </c>
      <c r="Z53" s="31">
        <v>5133</v>
      </c>
      <c r="AA53" s="29">
        <v>1730</v>
      </c>
      <c r="AB53" s="30">
        <v>2385</v>
      </c>
      <c r="AC53" s="31">
        <v>4115</v>
      </c>
      <c r="AD53" s="29">
        <v>1198</v>
      </c>
      <c r="AE53" s="30">
        <v>1662</v>
      </c>
      <c r="AF53" s="31">
        <v>2860</v>
      </c>
      <c r="AG53" s="29">
        <v>788</v>
      </c>
      <c r="AH53" s="30">
        <v>1106</v>
      </c>
      <c r="AI53" s="31">
        <v>1894</v>
      </c>
      <c r="AJ53" s="29">
        <v>625</v>
      </c>
      <c r="AK53" s="30">
        <v>840</v>
      </c>
      <c r="AL53" s="31">
        <v>1465</v>
      </c>
      <c r="AM53" s="29">
        <v>269</v>
      </c>
      <c r="AN53" s="30">
        <v>484</v>
      </c>
      <c r="AO53" s="31">
        <v>753</v>
      </c>
      <c r="AP53" s="29">
        <v>141</v>
      </c>
      <c r="AQ53" s="30">
        <v>181</v>
      </c>
      <c r="AR53" s="31">
        <v>322</v>
      </c>
      <c r="AS53" s="29">
        <v>58</v>
      </c>
      <c r="AT53" s="30">
        <v>59</v>
      </c>
      <c r="AU53" s="31">
        <v>117</v>
      </c>
      <c r="AV53" s="29">
        <v>28</v>
      </c>
      <c r="AW53" s="30">
        <v>23</v>
      </c>
      <c r="AX53" s="31">
        <v>51</v>
      </c>
      <c r="AY53" s="29">
        <f t="shared" si="1"/>
        <v>3982</v>
      </c>
      <c r="AZ53" s="30">
        <f t="shared" si="2"/>
        <v>5266</v>
      </c>
      <c r="BA53" s="31">
        <f t="shared" si="3"/>
        <v>9248</v>
      </c>
      <c r="BB53" s="29">
        <f t="shared" si="4"/>
        <v>1986</v>
      </c>
      <c r="BC53" s="30">
        <f t="shared" si="5"/>
        <v>2768</v>
      </c>
      <c r="BD53" s="31">
        <f t="shared" si="6"/>
        <v>4754</v>
      </c>
      <c r="BE53" s="29">
        <f t="shared" si="7"/>
        <v>1121</v>
      </c>
      <c r="BF53" s="30">
        <f t="shared" si="8"/>
        <v>1587</v>
      </c>
      <c r="BG53" s="31">
        <f t="shared" si="9"/>
        <v>2708</v>
      </c>
    </row>
    <row r="54" spans="1:59" s="32" customFormat="1" ht="24" thickBot="1">
      <c r="A54" s="21">
        <v>50</v>
      </c>
      <c r="B54" s="22" t="s">
        <v>25</v>
      </c>
      <c r="C54" s="33"/>
      <c r="D54" s="34"/>
      <c r="E54" s="35">
        <v>0</v>
      </c>
      <c r="F54" s="37">
        <v>3224</v>
      </c>
      <c r="G54" s="38">
        <v>3988</v>
      </c>
      <c r="H54" s="39">
        <v>7212</v>
      </c>
      <c r="I54" s="29">
        <v>812</v>
      </c>
      <c r="J54" s="30">
        <v>1043</v>
      </c>
      <c r="K54" s="31">
        <v>1855</v>
      </c>
      <c r="L54" s="29">
        <v>840</v>
      </c>
      <c r="M54" s="30">
        <v>990</v>
      </c>
      <c r="N54" s="31">
        <v>1830</v>
      </c>
      <c r="O54" s="29">
        <v>797</v>
      </c>
      <c r="P54" s="30">
        <v>1000</v>
      </c>
      <c r="Q54" s="31">
        <v>1797</v>
      </c>
      <c r="R54" s="29">
        <v>775</v>
      </c>
      <c r="S54" s="30">
        <v>955</v>
      </c>
      <c r="T54" s="31">
        <v>1730</v>
      </c>
      <c r="U54" s="29">
        <v>8904</v>
      </c>
      <c r="V54" s="30">
        <v>12495</v>
      </c>
      <c r="W54" s="31">
        <v>21399</v>
      </c>
      <c r="X54" s="29">
        <v>3183</v>
      </c>
      <c r="Y54" s="30">
        <v>4122</v>
      </c>
      <c r="Z54" s="31">
        <v>7305</v>
      </c>
      <c r="AA54" s="29">
        <v>2304</v>
      </c>
      <c r="AB54" s="30">
        <v>3152</v>
      </c>
      <c r="AC54" s="31">
        <v>5456</v>
      </c>
      <c r="AD54" s="29">
        <v>1511</v>
      </c>
      <c r="AE54" s="30">
        <v>2099</v>
      </c>
      <c r="AF54" s="31">
        <v>3610</v>
      </c>
      <c r="AG54" s="29">
        <v>906</v>
      </c>
      <c r="AH54" s="30">
        <v>1418</v>
      </c>
      <c r="AI54" s="31">
        <v>2324</v>
      </c>
      <c r="AJ54" s="29">
        <v>614</v>
      </c>
      <c r="AK54" s="30">
        <v>989</v>
      </c>
      <c r="AL54" s="31">
        <v>1603</v>
      </c>
      <c r="AM54" s="29">
        <v>250</v>
      </c>
      <c r="AN54" s="30">
        <v>466</v>
      </c>
      <c r="AO54" s="31">
        <v>716</v>
      </c>
      <c r="AP54" s="29">
        <v>89</v>
      </c>
      <c r="AQ54" s="30">
        <v>187</v>
      </c>
      <c r="AR54" s="31">
        <v>276</v>
      </c>
      <c r="AS54" s="29">
        <v>27</v>
      </c>
      <c r="AT54" s="30">
        <v>37</v>
      </c>
      <c r="AU54" s="31">
        <v>64</v>
      </c>
      <c r="AV54" s="29">
        <v>20</v>
      </c>
      <c r="AW54" s="30">
        <v>25</v>
      </c>
      <c r="AX54" s="31">
        <v>45</v>
      </c>
      <c r="AY54" s="29">
        <f t="shared" si="1"/>
        <v>5487</v>
      </c>
      <c r="AZ54" s="30">
        <f t="shared" si="2"/>
        <v>7274</v>
      </c>
      <c r="BA54" s="31">
        <f t="shared" si="3"/>
        <v>12761</v>
      </c>
      <c r="BB54" s="29">
        <f t="shared" si="4"/>
        <v>2417</v>
      </c>
      <c r="BC54" s="30">
        <f t="shared" si="5"/>
        <v>3517</v>
      </c>
      <c r="BD54" s="31">
        <f t="shared" si="6"/>
        <v>5934</v>
      </c>
      <c r="BE54" s="29">
        <f t="shared" si="7"/>
        <v>1000</v>
      </c>
      <c r="BF54" s="30">
        <f t="shared" si="8"/>
        <v>1704</v>
      </c>
      <c r="BG54" s="31">
        <f t="shared" si="9"/>
        <v>2704</v>
      </c>
    </row>
    <row r="55" spans="1:59">
      <c r="X55" s="41"/>
      <c r="Y55" s="41"/>
      <c r="Z55" s="41"/>
    </row>
    <row r="56" spans="1:59">
      <c r="X56" s="41"/>
      <c r="Y56" s="41"/>
      <c r="Z56" s="41"/>
    </row>
    <row r="57" spans="1:59">
      <c r="X57" s="41"/>
      <c r="Y57" s="41"/>
      <c r="Z57" s="41"/>
    </row>
    <row r="58" spans="1:59">
      <c r="X58" s="41"/>
      <c r="Y58" s="41"/>
      <c r="Z58" s="41"/>
    </row>
    <row r="59" spans="1:59">
      <c r="X59" s="41"/>
      <c r="Y59" s="41"/>
      <c r="Z59" s="41"/>
    </row>
    <row r="60" spans="1:59">
      <c r="X60" s="41"/>
      <c r="Y60" s="41"/>
      <c r="Z60" s="41"/>
    </row>
    <row r="61" spans="1:59">
      <c r="B61" s="42"/>
      <c r="C61" s="42"/>
      <c r="D61" s="42"/>
      <c r="E61" s="42"/>
    </row>
    <row r="62" spans="1:59">
      <c r="B62" s="42"/>
      <c r="C62" s="42"/>
      <c r="D62" s="42"/>
      <c r="E62" s="42"/>
    </row>
    <row r="63" spans="1:59">
      <c r="B63" s="42"/>
      <c r="C63" s="42"/>
      <c r="D63" s="42"/>
      <c r="E63" s="42"/>
    </row>
    <row r="64" spans="1:59">
      <c r="B64" s="42"/>
      <c r="C64" s="42"/>
      <c r="D64" s="42"/>
      <c r="E64" s="42"/>
    </row>
    <row r="65" spans="2:5">
      <c r="B65" s="42"/>
      <c r="C65" s="42"/>
      <c r="D65" s="42"/>
      <c r="E65" s="42"/>
    </row>
    <row r="66" spans="2:5">
      <c r="B66" s="42"/>
      <c r="C66" s="42"/>
      <c r="D66" s="42"/>
      <c r="E66" s="42"/>
    </row>
    <row r="67" spans="2:5">
      <c r="B67" s="42"/>
      <c r="C67" s="42"/>
      <c r="D67" s="42"/>
      <c r="E67" s="42"/>
    </row>
    <row r="68" spans="2:5">
      <c r="B68" s="42"/>
      <c r="C68" s="42"/>
      <c r="D68" s="42"/>
      <c r="E68" s="42"/>
    </row>
    <row r="69" spans="2:5">
      <c r="B69" s="42"/>
      <c r="C69" s="42"/>
      <c r="D69" s="42"/>
      <c r="E69" s="42"/>
    </row>
    <row r="70" spans="2:5">
      <c r="B70" s="42"/>
      <c r="C70" s="42"/>
      <c r="D70" s="42"/>
      <c r="E70" s="42"/>
    </row>
    <row r="71" spans="2:5">
      <c r="B71" s="42"/>
      <c r="C71" s="42"/>
      <c r="D71" s="42"/>
      <c r="E71" s="42"/>
    </row>
  </sheetData>
  <sheetProtection algorithmName="SHA-512" hashValue="e3TZ0qfGclw/Y+FIbIPpzgNdFodwsFXlWqx6Ndl0F+Lus3UhWXBzDAdS0I+ENA3Ghzm/Bx6VMZN+jjdFDYShYQ==" saltValue="GVpkjj8Nwa3xwGjU2e6k4g==" spinCount="100000" sheet="1" objects="1" scenarios="1" selectLockedCells="1"/>
  <mergeCells count="3">
    <mergeCell ref="C2:E2"/>
    <mergeCell ref="F2:H2"/>
    <mergeCell ref="U2:W2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2788-74E3-4B77-AAA1-CCF877BB5238}">
  <dimension ref="B1:CQ55"/>
  <sheetViews>
    <sheetView zoomScaleNormal="100" workbookViewId="0">
      <pane xSplit="2" ySplit="5" topLeftCell="AG14" activePane="bottomRight" state="frozen"/>
      <selection activeCell="E22" sqref="E22"/>
      <selection pane="topRight" activeCell="E22" sqref="E22"/>
      <selection pane="bottomLeft" activeCell="E22" sqref="E22"/>
      <selection pane="bottomRight" activeCell="AG14" sqref="AG14"/>
    </sheetView>
  </sheetViews>
  <sheetFormatPr defaultColWidth="9.140625" defaultRowHeight="24"/>
  <cols>
    <col min="1" max="1" width="9.140625" style="56"/>
    <col min="2" max="2" width="21.140625" style="55" customWidth="1"/>
    <col min="3" max="4" width="9.5703125" style="56" bestFit="1" customWidth="1"/>
    <col min="5" max="5" width="10.85546875" style="56" bestFit="1" customWidth="1"/>
    <col min="6" max="14" width="9.5703125" style="56" bestFit="1" customWidth="1"/>
    <col min="15" max="23" width="9.140625" style="56" customWidth="1"/>
    <col min="24" max="47" width="7.5703125" style="56" customWidth="1"/>
    <col min="48" max="48" width="10" style="56" customWidth="1"/>
    <col min="49" max="49" width="10.5703125" style="56" customWidth="1"/>
    <col min="50" max="50" width="9.5703125" style="56" customWidth="1"/>
    <col min="51" max="53" width="13.5703125" style="56" bestFit="1" customWidth="1"/>
    <col min="54" max="54" width="12.42578125" style="56" bestFit="1" customWidth="1"/>
    <col min="55" max="56" width="13.5703125" style="56" bestFit="1" customWidth="1"/>
    <col min="57" max="58" width="12.42578125" style="56" bestFit="1" customWidth="1"/>
    <col min="59" max="59" width="13.5703125" style="56" bestFit="1" customWidth="1"/>
    <col min="60" max="62" width="12.42578125" style="56" bestFit="1" customWidth="1"/>
    <col min="63" max="64" width="10.85546875" style="56" bestFit="1" customWidth="1"/>
    <col min="65" max="65" width="12.42578125" style="56" bestFit="1" customWidth="1"/>
    <col min="66" max="67" width="10.85546875" style="56" bestFit="1" customWidth="1"/>
    <col min="68" max="68" width="12.42578125" style="56" bestFit="1" customWidth="1"/>
    <col min="69" max="71" width="10.85546875" style="56" bestFit="1" customWidth="1"/>
    <col min="72" max="95" width="9.5703125" style="56" bestFit="1" customWidth="1"/>
    <col min="96" max="16384" width="9.140625" style="56"/>
  </cols>
  <sheetData>
    <row r="1" spans="2:95" ht="24.75" thickBot="1">
      <c r="B1" s="55">
        <v>1</v>
      </c>
      <c r="C1" s="56">
        <v>2</v>
      </c>
      <c r="D1" s="56">
        <v>3</v>
      </c>
      <c r="E1" s="56">
        <v>4</v>
      </c>
      <c r="F1" s="56">
        <v>5</v>
      </c>
      <c r="G1" s="56">
        <v>6</v>
      </c>
      <c r="H1" s="56">
        <v>7</v>
      </c>
      <c r="I1" s="56">
        <v>8</v>
      </c>
      <c r="J1" s="56">
        <v>9</v>
      </c>
      <c r="K1" s="56">
        <v>10</v>
      </c>
      <c r="L1" s="56">
        <v>11</v>
      </c>
      <c r="M1" s="56">
        <v>12</v>
      </c>
      <c r="N1" s="56">
        <v>13</v>
      </c>
      <c r="O1" s="56">
        <v>14</v>
      </c>
      <c r="P1" s="56">
        <v>15</v>
      </c>
      <c r="Q1" s="56">
        <v>16</v>
      </c>
      <c r="R1" s="56">
        <v>17</v>
      </c>
      <c r="S1" s="56">
        <v>18</v>
      </c>
      <c r="T1" s="56">
        <v>19</v>
      </c>
      <c r="U1" s="56">
        <v>20</v>
      </c>
      <c r="V1" s="56">
        <v>21</v>
      </c>
      <c r="W1" s="56">
        <v>22</v>
      </c>
      <c r="X1" s="56">
        <v>23</v>
      </c>
      <c r="Y1" s="56">
        <v>24</v>
      </c>
      <c r="Z1" s="56">
        <v>25</v>
      </c>
      <c r="AA1" s="56">
        <v>26</v>
      </c>
      <c r="AB1" s="56">
        <v>27</v>
      </c>
      <c r="AC1" s="56">
        <v>28</v>
      </c>
      <c r="AD1" s="56">
        <v>29</v>
      </c>
      <c r="AE1" s="56">
        <v>30</v>
      </c>
      <c r="AF1" s="56">
        <v>31</v>
      </c>
      <c r="AG1" s="56">
        <v>32</v>
      </c>
      <c r="AH1" s="56">
        <v>33</v>
      </c>
      <c r="AI1" s="56">
        <v>34</v>
      </c>
      <c r="AJ1" s="56">
        <v>35</v>
      </c>
      <c r="AK1" s="56">
        <v>36</v>
      </c>
      <c r="AL1" s="56">
        <v>37</v>
      </c>
      <c r="AM1" s="56">
        <v>38</v>
      </c>
      <c r="AN1" s="56">
        <v>39</v>
      </c>
      <c r="AO1" s="56">
        <v>40</v>
      </c>
      <c r="AP1" s="56">
        <v>41</v>
      </c>
      <c r="AQ1" s="56">
        <v>42</v>
      </c>
      <c r="AR1" s="56">
        <v>43</v>
      </c>
      <c r="AS1" s="56">
        <v>44</v>
      </c>
      <c r="AT1" s="56">
        <v>45</v>
      </c>
      <c r="AU1" s="56">
        <v>46</v>
      </c>
      <c r="AV1" s="56">
        <v>47</v>
      </c>
      <c r="AW1" s="56">
        <v>48</v>
      </c>
      <c r="AX1" s="56">
        <v>49</v>
      </c>
      <c r="AY1" s="56">
        <v>50</v>
      </c>
      <c r="AZ1" s="56">
        <v>51</v>
      </c>
      <c r="BA1" s="56">
        <v>52</v>
      </c>
      <c r="BB1" s="56">
        <v>53</v>
      </c>
      <c r="BC1" s="56">
        <v>54</v>
      </c>
      <c r="BD1" s="56">
        <v>55</v>
      </c>
      <c r="BE1" s="56">
        <v>56</v>
      </c>
      <c r="BF1" s="56">
        <v>57</v>
      </c>
      <c r="BG1" s="56">
        <v>58</v>
      </c>
      <c r="BH1" s="56">
        <v>59</v>
      </c>
      <c r="BI1" s="56">
        <v>60</v>
      </c>
      <c r="BJ1" s="56">
        <v>61</v>
      </c>
      <c r="BK1" s="56">
        <v>62</v>
      </c>
      <c r="BL1" s="56">
        <v>63</v>
      </c>
      <c r="BM1" s="56">
        <v>64</v>
      </c>
      <c r="BN1" s="56">
        <v>65</v>
      </c>
      <c r="BO1" s="56">
        <v>66</v>
      </c>
      <c r="BP1" s="56">
        <v>67</v>
      </c>
      <c r="BQ1" s="56">
        <v>68</v>
      </c>
      <c r="BR1" s="56">
        <v>69</v>
      </c>
      <c r="BS1" s="56">
        <v>70</v>
      </c>
      <c r="BT1" s="56">
        <v>71</v>
      </c>
      <c r="BU1" s="56">
        <v>72</v>
      </c>
      <c r="BV1" s="56">
        <v>73</v>
      </c>
      <c r="BW1" s="56">
        <v>74</v>
      </c>
      <c r="BX1" s="56">
        <v>75</v>
      </c>
      <c r="BY1" s="56">
        <v>76</v>
      </c>
      <c r="BZ1" s="56">
        <v>77</v>
      </c>
      <c r="CA1" s="56">
        <v>78</v>
      </c>
      <c r="CB1" s="56">
        <v>79</v>
      </c>
      <c r="CC1" s="56">
        <v>80</v>
      </c>
      <c r="CD1" s="56">
        <v>81</v>
      </c>
      <c r="CE1" s="56">
        <v>82</v>
      </c>
      <c r="CF1" s="56">
        <v>83</v>
      </c>
      <c r="CG1" s="56">
        <v>84</v>
      </c>
      <c r="CH1" s="56">
        <v>85</v>
      </c>
      <c r="CI1" s="56">
        <v>86</v>
      </c>
      <c r="CJ1" s="56">
        <v>87</v>
      </c>
      <c r="CK1" s="56">
        <v>88</v>
      </c>
      <c r="CL1" s="56">
        <v>89</v>
      </c>
      <c r="CM1" s="56">
        <v>90</v>
      </c>
      <c r="CN1" s="56">
        <v>91</v>
      </c>
      <c r="CO1" s="56">
        <v>92</v>
      </c>
      <c r="CP1" s="56">
        <v>93</v>
      </c>
      <c r="CQ1" s="56">
        <v>94</v>
      </c>
    </row>
    <row r="2" spans="2:95" ht="24.75" thickBot="1">
      <c r="B2" s="51" t="s">
        <v>85</v>
      </c>
      <c r="C2" s="258" t="s">
        <v>89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  <c r="O2" s="259" t="s">
        <v>99</v>
      </c>
      <c r="P2" s="259"/>
      <c r="Q2" s="259"/>
      <c r="R2" s="259"/>
      <c r="S2" s="259"/>
      <c r="T2" s="259"/>
      <c r="U2" s="259"/>
      <c r="V2" s="259"/>
      <c r="W2" s="260"/>
      <c r="X2" s="258" t="s">
        <v>79</v>
      </c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60"/>
      <c r="AJ2" s="258" t="s">
        <v>80</v>
      </c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60"/>
      <c r="AV2" s="258" t="s">
        <v>75</v>
      </c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258" t="s">
        <v>417</v>
      </c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60"/>
      <c r="BT2" s="258" t="s">
        <v>90</v>
      </c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60"/>
      <c r="CF2" s="258" t="s">
        <v>91</v>
      </c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60"/>
    </row>
    <row r="3" spans="2:95">
      <c r="B3" s="51"/>
      <c r="C3" s="256" t="s">
        <v>16</v>
      </c>
      <c r="D3" s="257"/>
      <c r="E3" s="257"/>
      <c r="F3" s="256" t="s">
        <v>87</v>
      </c>
      <c r="G3" s="257"/>
      <c r="H3" s="257"/>
      <c r="I3" s="257" t="s">
        <v>86</v>
      </c>
      <c r="J3" s="257"/>
      <c r="K3" s="257"/>
      <c r="L3" s="257" t="s">
        <v>88</v>
      </c>
      <c r="M3" s="257"/>
      <c r="N3" s="261"/>
      <c r="O3" s="256" t="s">
        <v>87</v>
      </c>
      <c r="P3" s="257"/>
      <c r="Q3" s="257"/>
      <c r="R3" s="257" t="s">
        <v>86</v>
      </c>
      <c r="S3" s="257"/>
      <c r="T3" s="257"/>
      <c r="U3" s="257" t="s">
        <v>88</v>
      </c>
      <c r="V3" s="257"/>
      <c r="W3" s="261"/>
      <c r="X3" s="256" t="s">
        <v>16</v>
      </c>
      <c r="Y3" s="257"/>
      <c r="Z3" s="257"/>
      <c r="AA3" s="256" t="s">
        <v>87</v>
      </c>
      <c r="AB3" s="257"/>
      <c r="AC3" s="257"/>
      <c r="AD3" s="257" t="s">
        <v>86</v>
      </c>
      <c r="AE3" s="257"/>
      <c r="AF3" s="257"/>
      <c r="AG3" s="257" t="s">
        <v>88</v>
      </c>
      <c r="AH3" s="257"/>
      <c r="AI3" s="261"/>
      <c r="AJ3" s="256" t="s">
        <v>16</v>
      </c>
      <c r="AK3" s="257"/>
      <c r="AL3" s="257"/>
      <c r="AM3" s="256" t="s">
        <v>87</v>
      </c>
      <c r="AN3" s="257"/>
      <c r="AO3" s="257"/>
      <c r="AP3" s="257" t="s">
        <v>86</v>
      </c>
      <c r="AQ3" s="257"/>
      <c r="AR3" s="257"/>
      <c r="AS3" s="257" t="s">
        <v>88</v>
      </c>
      <c r="AT3" s="257"/>
      <c r="AU3" s="261"/>
      <c r="AV3" s="256" t="s">
        <v>16</v>
      </c>
      <c r="AW3" s="257"/>
      <c r="AX3" s="257"/>
      <c r="AY3" s="256" t="s">
        <v>87</v>
      </c>
      <c r="AZ3" s="257"/>
      <c r="BA3" s="257"/>
      <c r="BB3" s="257" t="s">
        <v>86</v>
      </c>
      <c r="BC3" s="257"/>
      <c r="BD3" s="257"/>
      <c r="BE3" s="257" t="s">
        <v>88</v>
      </c>
      <c r="BF3" s="257"/>
      <c r="BG3" s="261"/>
      <c r="BH3" s="256" t="s">
        <v>16</v>
      </c>
      <c r="BI3" s="257"/>
      <c r="BJ3" s="257"/>
      <c r="BK3" s="256" t="s">
        <v>87</v>
      </c>
      <c r="BL3" s="257"/>
      <c r="BM3" s="257"/>
      <c r="BN3" s="257" t="s">
        <v>86</v>
      </c>
      <c r="BO3" s="257"/>
      <c r="BP3" s="257"/>
      <c r="BQ3" s="257" t="s">
        <v>88</v>
      </c>
      <c r="BR3" s="257"/>
      <c r="BS3" s="261"/>
      <c r="BT3" s="256" t="s">
        <v>16</v>
      </c>
      <c r="BU3" s="257"/>
      <c r="BV3" s="257"/>
      <c r="BW3" s="256" t="s">
        <v>87</v>
      </c>
      <c r="BX3" s="257"/>
      <c r="BY3" s="257"/>
      <c r="BZ3" s="257" t="s">
        <v>86</v>
      </c>
      <c r="CA3" s="257"/>
      <c r="CB3" s="257"/>
      <c r="CC3" s="257" t="s">
        <v>88</v>
      </c>
      <c r="CD3" s="257"/>
      <c r="CE3" s="261"/>
      <c r="CF3" s="256" t="s">
        <v>16</v>
      </c>
      <c r="CG3" s="257"/>
      <c r="CH3" s="257"/>
      <c r="CI3" s="256" t="s">
        <v>87</v>
      </c>
      <c r="CJ3" s="257"/>
      <c r="CK3" s="257"/>
      <c r="CL3" s="257" t="s">
        <v>86</v>
      </c>
      <c r="CM3" s="257"/>
      <c r="CN3" s="257"/>
      <c r="CO3" s="257" t="s">
        <v>88</v>
      </c>
      <c r="CP3" s="257"/>
      <c r="CQ3" s="261"/>
    </row>
    <row r="4" spans="2:95" ht="24.75" thickBot="1">
      <c r="B4" s="54"/>
      <c r="C4" s="62" t="s">
        <v>14</v>
      </c>
      <c r="D4" s="65" t="s">
        <v>15</v>
      </c>
      <c r="E4" s="57" t="s">
        <v>16</v>
      </c>
      <c r="F4" s="62" t="s">
        <v>14</v>
      </c>
      <c r="G4" s="65" t="s">
        <v>15</v>
      </c>
      <c r="H4" s="57" t="s">
        <v>16</v>
      </c>
      <c r="I4" s="62" t="s">
        <v>14</v>
      </c>
      <c r="J4" s="65" t="s">
        <v>15</v>
      </c>
      <c r="K4" s="57" t="s">
        <v>16</v>
      </c>
      <c r="L4" s="62" t="s">
        <v>14</v>
      </c>
      <c r="M4" s="65" t="s">
        <v>15</v>
      </c>
      <c r="N4" s="57" t="s">
        <v>16</v>
      </c>
      <c r="O4" s="62" t="s">
        <v>14</v>
      </c>
      <c r="P4" s="65" t="s">
        <v>15</v>
      </c>
      <c r="Q4" s="70"/>
      <c r="R4" s="62" t="s">
        <v>14</v>
      </c>
      <c r="S4" s="65" t="s">
        <v>15</v>
      </c>
      <c r="T4" s="57" t="s">
        <v>16</v>
      </c>
      <c r="U4" s="62" t="s">
        <v>14</v>
      </c>
      <c r="V4" s="65" t="s">
        <v>15</v>
      </c>
      <c r="W4" s="57" t="s">
        <v>16</v>
      </c>
      <c r="X4" s="62" t="s">
        <v>14</v>
      </c>
      <c r="Y4" s="65" t="s">
        <v>15</v>
      </c>
      <c r="Z4" s="57" t="s">
        <v>16</v>
      </c>
      <c r="AA4" s="62" t="s">
        <v>14</v>
      </c>
      <c r="AB4" s="65" t="s">
        <v>15</v>
      </c>
      <c r="AC4" s="57" t="s">
        <v>16</v>
      </c>
      <c r="AD4" s="62" t="s">
        <v>14</v>
      </c>
      <c r="AE4" s="65" t="s">
        <v>15</v>
      </c>
      <c r="AF4" s="57" t="s">
        <v>16</v>
      </c>
      <c r="AG4" s="62" t="s">
        <v>14</v>
      </c>
      <c r="AH4" s="65" t="s">
        <v>15</v>
      </c>
      <c r="AI4" s="57" t="s">
        <v>16</v>
      </c>
      <c r="AJ4" s="62" t="s">
        <v>14</v>
      </c>
      <c r="AK4" s="65" t="s">
        <v>15</v>
      </c>
      <c r="AL4" s="57" t="s">
        <v>16</v>
      </c>
      <c r="AM4" s="62" t="s">
        <v>14</v>
      </c>
      <c r="AN4" s="65" t="s">
        <v>15</v>
      </c>
      <c r="AO4" s="57" t="s">
        <v>16</v>
      </c>
      <c r="AP4" s="62" t="s">
        <v>14</v>
      </c>
      <c r="AQ4" s="65" t="s">
        <v>15</v>
      </c>
      <c r="AR4" s="57" t="s">
        <v>16</v>
      </c>
      <c r="AS4" s="62" t="s">
        <v>14</v>
      </c>
      <c r="AT4" s="65" t="s">
        <v>15</v>
      </c>
      <c r="AU4" s="57" t="s">
        <v>16</v>
      </c>
      <c r="AV4" s="62" t="s">
        <v>14</v>
      </c>
      <c r="AW4" s="65" t="s">
        <v>15</v>
      </c>
      <c r="AX4" s="57" t="s">
        <v>16</v>
      </c>
      <c r="AY4" s="62" t="s">
        <v>14</v>
      </c>
      <c r="AZ4" s="65" t="s">
        <v>15</v>
      </c>
      <c r="BA4" s="57" t="s">
        <v>16</v>
      </c>
      <c r="BB4" s="62" t="s">
        <v>14</v>
      </c>
      <c r="BC4" s="65" t="s">
        <v>15</v>
      </c>
      <c r="BD4" s="57" t="s">
        <v>16</v>
      </c>
      <c r="BE4" s="62" t="s">
        <v>14</v>
      </c>
      <c r="BF4" s="65" t="s">
        <v>15</v>
      </c>
      <c r="BG4" s="57" t="s">
        <v>16</v>
      </c>
      <c r="BH4" s="62" t="s">
        <v>14</v>
      </c>
      <c r="BI4" s="65" t="s">
        <v>15</v>
      </c>
      <c r="BJ4" s="57" t="s">
        <v>16</v>
      </c>
      <c r="BK4" s="62" t="s">
        <v>14</v>
      </c>
      <c r="BL4" s="65" t="s">
        <v>15</v>
      </c>
      <c r="BM4" s="57" t="s">
        <v>16</v>
      </c>
      <c r="BN4" s="62" t="s">
        <v>14</v>
      </c>
      <c r="BO4" s="65" t="s">
        <v>15</v>
      </c>
      <c r="BP4" s="57" t="s">
        <v>16</v>
      </c>
      <c r="BQ4" s="62" t="s">
        <v>14</v>
      </c>
      <c r="BR4" s="65" t="s">
        <v>15</v>
      </c>
      <c r="BS4" s="57" t="s">
        <v>16</v>
      </c>
      <c r="BT4" s="62" t="s">
        <v>14</v>
      </c>
      <c r="BU4" s="65" t="s">
        <v>15</v>
      </c>
      <c r="BV4" s="57" t="s">
        <v>16</v>
      </c>
      <c r="BW4" s="62" t="s">
        <v>14</v>
      </c>
      <c r="BX4" s="65" t="s">
        <v>15</v>
      </c>
      <c r="BY4" s="57" t="s">
        <v>16</v>
      </c>
      <c r="BZ4" s="62" t="s">
        <v>14</v>
      </c>
      <c r="CA4" s="65" t="s">
        <v>15</v>
      </c>
      <c r="CB4" s="57" t="s">
        <v>16</v>
      </c>
      <c r="CC4" s="62" t="s">
        <v>14</v>
      </c>
      <c r="CD4" s="65" t="s">
        <v>15</v>
      </c>
      <c r="CE4" s="57" t="s">
        <v>16</v>
      </c>
      <c r="CF4" s="62" t="s">
        <v>14</v>
      </c>
      <c r="CG4" s="65" t="s">
        <v>15</v>
      </c>
      <c r="CH4" s="57" t="s">
        <v>16</v>
      </c>
      <c r="CI4" s="62" t="s">
        <v>14</v>
      </c>
      <c r="CJ4" s="65" t="s">
        <v>15</v>
      </c>
      <c r="CK4" s="57" t="s">
        <v>16</v>
      </c>
      <c r="CL4" s="62" t="s">
        <v>14</v>
      </c>
      <c r="CM4" s="65" t="s">
        <v>15</v>
      </c>
      <c r="CN4" s="57" t="s">
        <v>16</v>
      </c>
      <c r="CO4" s="62" t="s">
        <v>14</v>
      </c>
      <c r="CP4" s="65" t="s">
        <v>15</v>
      </c>
      <c r="CQ4" s="57" t="s">
        <v>16</v>
      </c>
    </row>
    <row r="5" spans="2:95" ht="24.75" thickBot="1">
      <c r="B5" s="53" t="s">
        <v>418</v>
      </c>
      <c r="C5" s="63">
        <f>SUM(C6:C55)</f>
        <v>8669</v>
      </c>
      <c r="D5" s="66">
        <f>SUM(D6:D55)</f>
        <v>8394</v>
      </c>
      <c r="E5" s="58">
        <f>C5+D5</f>
        <v>17063</v>
      </c>
      <c r="F5" s="63">
        <f>SUM(F6:F55)</f>
        <v>2713</v>
      </c>
      <c r="G5" s="66">
        <f>SUM(G6:G55)</f>
        <v>1830</v>
      </c>
      <c r="H5" s="58">
        <f>F5+G5</f>
        <v>4543</v>
      </c>
      <c r="I5" s="63">
        <f>SUM(I6:I55)</f>
        <v>2493</v>
      </c>
      <c r="J5" s="66">
        <f>SUM(J6:J55)</f>
        <v>2224</v>
      </c>
      <c r="K5" s="58">
        <f>I5+J5</f>
        <v>4717</v>
      </c>
      <c r="L5" s="63">
        <f>SUM(L6:L55)</f>
        <v>2732</v>
      </c>
      <c r="M5" s="66">
        <f>SUM(M6:M55)</f>
        <v>3699</v>
      </c>
      <c r="N5" s="58">
        <f>L5+M5</f>
        <v>6431</v>
      </c>
      <c r="O5" s="63"/>
      <c r="P5" s="66"/>
      <c r="Q5" s="68"/>
      <c r="R5" s="63"/>
      <c r="S5" s="66"/>
      <c r="T5" s="68"/>
      <c r="U5" s="63"/>
      <c r="V5" s="66"/>
      <c r="W5" s="68"/>
      <c r="X5" s="63">
        <f>SUM(X6:X55)</f>
        <v>2433</v>
      </c>
      <c r="Y5" s="66">
        <f>SUM(Y6:Y55)</f>
        <v>3797</v>
      </c>
      <c r="Z5" s="58">
        <f>X5+Y5</f>
        <v>6230</v>
      </c>
      <c r="AA5" s="63">
        <f>SUM(AA6:AA55)</f>
        <v>1073</v>
      </c>
      <c r="AB5" s="66">
        <f>SUM(AB6:AB55)</f>
        <v>1207</v>
      </c>
      <c r="AC5" s="58">
        <f>AA5+AB5</f>
        <v>2280</v>
      </c>
      <c r="AD5" s="63">
        <f>SUM(AD6:AD55)</f>
        <v>746</v>
      </c>
      <c r="AE5" s="66">
        <f>SUM(AE6:AE55)</f>
        <v>1247</v>
      </c>
      <c r="AF5" s="58">
        <f>AD5+AE5</f>
        <v>1993</v>
      </c>
      <c r="AG5" s="63">
        <f>SUM(AG6:AG55)</f>
        <v>614</v>
      </c>
      <c r="AH5" s="66">
        <f>SUM(AH6:AH55)</f>
        <v>1333</v>
      </c>
      <c r="AI5" s="58">
        <f>AG5+AH5</f>
        <v>1947</v>
      </c>
      <c r="AJ5" s="63">
        <f>SUM(AJ6:AJ55)</f>
        <v>1737</v>
      </c>
      <c r="AK5" s="66">
        <f>SUM(AK6:AK55)</f>
        <v>2731</v>
      </c>
      <c r="AL5" s="58">
        <f>AJ5+AK5</f>
        <v>4468</v>
      </c>
      <c r="AM5" s="63">
        <f>SUM(AM6:AM55)</f>
        <v>733</v>
      </c>
      <c r="AN5" s="66">
        <f>SUM(AN6:AN55)</f>
        <v>721</v>
      </c>
      <c r="AO5" s="58">
        <f>AM5+AN5</f>
        <v>1454</v>
      </c>
      <c r="AP5" s="63">
        <f>SUM(AP6:AP55)</f>
        <v>538</v>
      </c>
      <c r="AQ5" s="66">
        <f>SUM(AQ6:AQ55)</f>
        <v>918</v>
      </c>
      <c r="AR5" s="58">
        <f>AP5+AQ5</f>
        <v>1456</v>
      </c>
      <c r="AS5" s="63">
        <f>SUM(AS6:AS55)</f>
        <v>466</v>
      </c>
      <c r="AT5" s="66">
        <f>SUM(AT6:AT55)</f>
        <v>1092</v>
      </c>
      <c r="AU5" s="58">
        <f>AS5+AT5</f>
        <v>1558</v>
      </c>
      <c r="AV5" s="63">
        <f>SUM(AV6:AV55)</f>
        <v>334662</v>
      </c>
      <c r="AW5" s="66">
        <f>SUM(AW6:AW55)</f>
        <v>470715</v>
      </c>
      <c r="AX5" s="58">
        <f>AV5+AW5</f>
        <v>805377</v>
      </c>
      <c r="AY5" s="63">
        <f>SUM(AY6:AY55)</f>
        <v>190348</v>
      </c>
      <c r="AZ5" s="66">
        <f>SUM(AZ6:AZ55)</f>
        <v>270932</v>
      </c>
      <c r="BA5" s="58">
        <f>AY5+AZ5</f>
        <v>461280</v>
      </c>
      <c r="BB5" s="63">
        <f>SUM(BB6:BB55)</f>
        <v>83218</v>
      </c>
      <c r="BC5" s="66">
        <f>SUM(BC6:BC55)</f>
        <v>132550</v>
      </c>
      <c r="BD5" s="58">
        <f>BB5+BC5</f>
        <v>215768</v>
      </c>
      <c r="BE5" s="63">
        <f>SUM(BE6:BE55)</f>
        <v>31203</v>
      </c>
      <c r="BF5" s="66">
        <f>SUM(BF6:BF55)</f>
        <v>67233</v>
      </c>
      <c r="BG5" s="58">
        <f>BE5+BF5</f>
        <v>98436</v>
      </c>
      <c r="BH5" s="63">
        <f>SUM(BH6:BH55)</f>
        <v>17545</v>
      </c>
      <c r="BI5" s="66">
        <f>SUM(BI6:BI55)</f>
        <v>21154</v>
      </c>
      <c r="BJ5" s="58">
        <f>BH5+BI5</f>
        <v>38699</v>
      </c>
      <c r="BK5" s="63">
        <f>SUM(BK6:BK55)</f>
        <v>8281</v>
      </c>
      <c r="BL5" s="66">
        <f>SUM(BL6:BL55)</f>
        <v>7788</v>
      </c>
      <c r="BM5" s="58">
        <f>BK5+BL5</f>
        <v>16069</v>
      </c>
      <c r="BN5" s="63">
        <f>SUM(BN6:BN55)</f>
        <v>5946</v>
      </c>
      <c r="BO5" s="66">
        <f>SUM(BO6:BO55)</f>
        <v>7075</v>
      </c>
      <c r="BP5" s="58">
        <f>BN5+BO5</f>
        <v>13021</v>
      </c>
      <c r="BQ5" s="63">
        <f>SUM(BQ6:BQ55)</f>
        <v>3318</v>
      </c>
      <c r="BR5" s="66">
        <f>SUM(BR6:BR55)</f>
        <v>6291</v>
      </c>
      <c r="BS5" s="58">
        <f>BQ5+BR5</f>
        <v>9609</v>
      </c>
      <c r="BT5" s="63">
        <f>SUM(BT6:BT55)</f>
        <v>2403</v>
      </c>
      <c r="BU5" s="66">
        <f>SUM(BU6:BU55)</f>
        <v>4017</v>
      </c>
      <c r="BV5" s="58">
        <f>BT5+BU5</f>
        <v>6420</v>
      </c>
      <c r="BW5" s="63">
        <f>SUM(BW6:BW55)</f>
        <v>2246</v>
      </c>
      <c r="BX5" s="66">
        <f>SUM(BX6:BX55)</f>
        <v>3643</v>
      </c>
      <c r="BY5" s="58">
        <f>BW5+BX5</f>
        <v>5889</v>
      </c>
      <c r="BZ5" s="63">
        <f>SUM(BZ6:BZ55)</f>
        <v>112</v>
      </c>
      <c r="CA5" s="66">
        <f>SUM(CA6:CA55)</f>
        <v>197</v>
      </c>
      <c r="CB5" s="58">
        <f>BZ5+CA5</f>
        <v>309</v>
      </c>
      <c r="CC5" s="63">
        <f>SUM(CC6:CC55)</f>
        <v>45</v>
      </c>
      <c r="CD5" s="66">
        <f>SUM(CD6:CD55)</f>
        <v>177</v>
      </c>
      <c r="CE5" s="58">
        <f>CC5+CD5</f>
        <v>222</v>
      </c>
      <c r="CF5" s="63">
        <f>SUM(CF6:CF55)</f>
        <v>677</v>
      </c>
      <c r="CG5" s="66">
        <f>SUM(CG6:CG55)</f>
        <v>975</v>
      </c>
      <c r="CH5" s="58">
        <f>CF5+CG5</f>
        <v>1652</v>
      </c>
      <c r="CI5" s="63">
        <f>SUM(CI6:CI55)</f>
        <v>424</v>
      </c>
      <c r="CJ5" s="66">
        <f>SUM(CJ6:CJ55)</f>
        <v>550</v>
      </c>
      <c r="CK5" s="58">
        <f>CI5+CJ5</f>
        <v>974</v>
      </c>
      <c r="CL5" s="63">
        <f>SUM(CL6:CL55)</f>
        <v>193</v>
      </c>
      <c r="CM5" s="66">
        <f>SUM(CM6:CM55)</f>
        <v>272</v>
      </c>
      <c r="CN5" s="58">
        <f>CL5+CM5</f>
        <v>465</v>
      </c>
      <c r="CO5" s="63">
        <f>SUM(CO6:CO55)</f>
        <v>60</v>
      </c>
      <c r="CP5" s="66">
        <f>SUM(CP6:CP55)</f>
        <v>153</v>
      </c>
      <c r="CQ5" s="58">
        <f>CO5+CP5</f>
        <v>213</v>
      </c>
    </row>
    <row r="6" spans="2:95">
      <c r="B6" s="59" t="s">
        <v>18</v>
      </c>
      <c r="C6" s="64">
        <v>157</v>
      </c>
      <c r="D6" s="67">
        <v>158</v>
      </c>
      <c r="E6" s="60">
        <v>315</v>
      </c>
      <c r="F6" s="64">
        <v>48</v>
      </c>
      <c r="G6" s="67">
        <v>32</v>
      </c>
      <c r="H6" s="60">
        <v>80</v>
      </c>
      <c r="I6" s="64">
        <v>45</v>
      </c>
      <c r="J6" s="67">
        <v>41</v>
      </c>
      <c r="K6" s="60">
        <v>86</v>
      </c>
      <c r="L6" s="64">
        <v>64</v>
      </c>
      <c r="M6" s="67">
        <v>85</v>
      </c>
      <c r="N6" s="60">
        <v>149</v>
      </c>
      <c r="O6" s="64">
        <v>0</v>
      </c>
      <c r="P6" s="67">
        <v>0</v>
      </c>
      <c r="Q6" s="69"/>
      <c r="R6" s="64">
        <v>0</v>
      </c>
      <c r="S6" s="67">
        <v>0</v>
      </c>
      <c r="T6" s="69"/>
      <c r="U6" s="64">
        <v>0</v>
      </c>
      <c r="V6" s="67">
        <v>0</v>
      </c>
      <c r="W6" s="69"/>
      <c r="X6" s="64">
        <v>20</v>
      </c>
      <c r="Y6" s="67">
        <v>35</v>
      </c>
      <c r="Z6" s="60">
        <v>55</v>
      </c>
      <c r="AA6" s="64">
        <v>7</v>
      </c>
      <c r="AB6" s="67">
        <v>7</v>
      </c>
      <c r="AC6" s="60">
        <v>14</v>
      </c>
      <c r="AD6" s="64">
        <v>5</v>
      </c>
      <c r="AE6" s="67">
        <v>12</v>
      </c>
      <c r="AF6" s="60">
        <v>17</v>
      </c>
      <c r="AG6" s="64">
        <v>8</v>
      </c>
      <c r="AH6" s="67">
        <v>16</v>
      </c>
      <c r="AI6" s="60">
        <v>24</v>
      </c>
      <c r="AJ6" s="64">
        <v>20</v>
      </c>
      <c r="AK6" s="67">
        <v>35</v>
      </c>
      <c r="AL6" s="60">
        <v>55</v>
      </c>
      <c r="AM6" s="64">
        <v>7</v>
      </c>
      <c r="AN6" s="67">
        <v>7</v>
      </c>
      <c r="AO6" s="60">
        <v>14</v>
      </c>
      <c r="AP6" s="64">
        <v>5</v>
      </c>
      <c r="AQ6" s="67">
        <v>12</v>
      </c>
      <c r="AR6" s="60">
        <v>17</v>
      </c>
      <c r="AS6" s="64">
        <v>8</v>
      </c>
      <c r="AT6" s="67">
        <v>16</v>
      </c>
      <c r="AU6" s="60">
        <v>24</v>
      </c>
      <c r="AV6" s="64">
        <v>4218</v>
      </c>
      <c r="AW6" s="67">
        <v>6308</v>
      </c>
      <c r="AX6" s="60">
        <v>10526</v>
      </c>
      <c r="AY6" s="64">
        <v>2471</v>
      </c>
      <c r="AZ6" s="67">
        <v>3285</v>
      </c>
      <c r="BA6" s="60">
        <v>5756</v>
      </c>
      <c r="BB6" s="64">
        <v>1242</v>
      </c>
      <c r="BC6" s="67">
        <v>1868</v>
      </c>
      <c r="BD6" s="60">
        <v>3110</v>
      </c>
      <c r="BE6" s="64">
        <v>505</v>
      </c>
      <c r="BF6" s="67">
        <v>1155</v>
      </c>
      <c r="BG6" s="60">
        <v>1660</v>
      </c>
      <c r="BH6" s="64">
        <v>264</v>
      </c>
      <c r="BI6" s="67">
        <v>207</v>
      </c>
      <c r="BJ6" s="60">
        <v>471</v>
      </c>
      <c r="BK6" s="64">
        <v>97</v>
      </c>
      <c r="BL6" s="67">
        <v>82</v>
      </c>
      <c r="BM6" s="60">
        <v>179</v>
      </c>
      <c r="BN6" s="64">
        <v>73</v>
      </c>
      <c r="BO6" s="67">
        <v>74</v>
      </c>
      <c r="BP6" s="60">
        <v>147</v>
      </c>
      <c r="BQ6" s="64">
        <v>94</v>
      </c>
      <c r="BR6" s="67">
        <v>51</v>
      </c>
      <c r="BS6" s="60">
        <v>145</v>
      </c>
      <c r="BT6" s="64">
        <v>0</v>
      </c>
      <c r="BU6" s="67">
        <v>0</v>
      </c>
      <c r="BV6" s="60">
        <v>0</v>
      </c>
      <c r="BW6" s="64">
        <v>0</v>
      </c>
      <c r="BX6" s="67">
        <v>0</v>
      </c>
      <c r="BY6" s="60">
        <v>0</v>
      </c>
      <c r="BZ6" s="64">
        <v>0</v>
      </c>
      <c r="CA6" s="67">
        <v>0</v>
      </c>
      <c r="CB6" s="60">
        <v>0</v>
      </c>
      <c r="CC6" s="64">
        <v>0</v>
      </c>
      <c r="CD6" s="67">
        <v>0</v>
      </c>
      <c r="CE6" s="60">
        <v>0</v>
      </c>
      <c r="CF6" s="64">
        <v>0</v>
      </c>
      <c r="CG6" s="67">
        <v>0</v>
      </c>
      <c r="CH6" s="60">
        <v>0</v>
      </c>
      <c r="CI6" s="64">
        <v>0</v>
      </c>
      <c r="CJ6" s="67">
        <v>0</v>
      </c>
      <c r="CK6" s="60">
        <v>0</v>
      </c>
      <c r="CL6" s="64">
        <v>0</v>
      </c>
      <c r="CM6" s="67">
        <v>0</v>
      </c>
      <c r="CN6" s="60">
        <v>0</v>
      </c>
      <c r="CO6" s="64">
        <v>0</v>
      </c>
      <c r="CP6" s="67">
        <v>0</v>
      </c>
      <c r="CQ6" s="60">
        <v>0</v>
      </c>
    </row>
    <row r="7" spans="2:95">
      <c r="B7" s="61" t="s">
        <v>33</v>
      </c>
      <c r="C7" s="64">
        <v>0</v>
      </c>
      <c r="D7" s="67">
        <v>0</v>
      </c>
      <c r="E7" s="60">
        <f>H7+K7+N7</f>
        <v>917</v>
      </c>
      <c r="F7" s="64">
        <v>0</v>
      </c>
      <c r="G7" s="67">
        <v>0</v>
      </c>
      <c r="H7" s="60">
        <v>254</v>
      </c>
      <c r="I7" s="64">
        <v>0</v>
      </c>
      <c r="J7" s="67">
        <v>0</v>
      </c>
      <c r="K7" s="60">
        <v>264</v>
      </c>
      <c r="L7" s="64">
        <v>0</v>
      </c>
      <c r="M7" s="67">
        <v>0</v>
      </c>
      <c r="N7" s="60">
        <v>399</v>
      </c>
      <c r="O7" s="64"/>
      <c r="P7" s="67"/>
      <c r="Q7" s="69"/>
      <c r="R7" s="64"/>
      <c r="S7" s="67"/>
      <c r="T7" s="69"/>
      <c r="U7" s="64"/>
      <c r="V7" s="67"/>
      <c r="W7" s="69"/>
      <c r="X7" s="64">
        <v>48</v>
      </c>
      <c r="Y7" s="67">
        <v>80</v>
      </c>
      <c r="Z7" s="60">
        <v>128</v>
      </c>
      <c r="AA7" s="64">
        <v>16</v>
      </c>
      <c r="AB7" s="67">
        <v>29</v>
      </c>
      <c r="AC7" s="60">
        <v>45</v>
      </c>
      <c r="AD7" s="64">
        <v>17</v>
      </c>
      <c r="AE7" s="67">
        <v>28</v>
      </c>
      <c r="AF7" s="60">
        <v>45</v>
      </c>
      <c r="AG7" s="64">
        <v>15</v>
      </c>
      <c r="AH7" s="67">
        <v>23</v>
      </c>
      <c r="AI7" s="60">
        <v>38</v>
      </c>
      <c r="AJ7" s="64">
        <v>48</v>
      </c>
      <c r="AK7" s="67">
        <v>79</v>
      </c>
      <c r="AL7" s="60">
        <v>127</v>
      </c>
      <c r="AM7" s="64">
        <v>16</v>
      </c>
      <c r="AN7" s="67">
        <v>29</v>
      </c>
      <c r="AO7" s="60">
        <v>45</v>
      </c>
      <c r="AP7" s="64">
        <v>17</v>
      </c>
      <c r="AQ7" s="67">
        <v>28</v>
      </c>
      <c r="AR7" s="60">
        <v>45</v>
      </c>
      <c r="AS7" s="64">
        <v>15</v>
      </c>
      <c r="AT7" s="67">
        <v>22</v>
      </c>
      <c r="AU7" s="60">
        <v>37</v>
      </c>
      <c r="AV7" s="64">
        <v>4275</v>
      </c>
      <c r="AW7" s="67">
        <v>7246</v>
      </c>
      <c r="AX7" s="60">
        <v>11521</v>
      </c>
      <c r="AY7" s="64">
        <v>2554</v>
      </c>
      <c r="AZ7" s="67">
        <v>3825</v>
      </c>
      <c r="BA7" s="60">
        <v>6379</v>
      </c>
      <c r="BB7" s="64">
        <v>1208</v>
      </c>
      <c r="BC7" s="67">
        <v>2122</v>
      </c>
      <c r="BD7" s="60">
        <v>3330</v>
      </c>
      <c r="BE7" s="64">
        <v>513</v>
      </c>
      <c r="BF7" s="67">
        <v>1299</v>
      </c>
      <c r="BG7" s="60">
        <v>1812</v>
      </c>
      <c r="BH7" s="64">
        <v>303</v>
      </c>
      <c r="BI7" s="67">
        <v>378</v>
      </c>
      <c r="BJ7" s="60">
        <v>681</v>
      </c>
      <c r="BK7" s="64">
        <v>146</v>
      </c>
      <c r="BL7" s="67">
        <v>126</v>
      </c>
      <c r="BM7" s="60">
        <v>272</v>
      </c>
      <c r="BN7" s="64">
        <v>94</v>
      </c>
      <c r="BO7" s="67">
        <v>122</v>
      </c>
      <c r="BP7" s="60">
        <v>216</v>
      </c>
      <c r="BQ7" s="64">
        <v>63</v>
      </c>
      <c r="BR7" s="67">
        <v>130</v>
      </c>
      <c r="BS7" s="60">
        <v>193</v>
      </c>
      <c r="BT7" s="64">
        <v>0</v>
      </c>
      <c r="BU7" s="67">
        <v>0</v>
      </c>
      <c r="BV7" s="60">
        <v>0</v>
      </c>
      <c r="BW7" s="64">
        <v>0</v>
      </c>
      <c r="BX7" s="67">
        <v>0</v>
      </c>
      <c r="BY7" s="60">
        <v>0</v>
      </c>
      <c r="BZ7" s="64">
        <v>0</v>
      </c>
      <c r="CA7" s="67">
        <v>0</v>
      </c>
      <c r="CB7" s="60">
        <v>0</v>
      </c>
      <c r="CC7" s="64">
        <v>0</v>
      </c>
      <c r="CD7" s="67">
        <v>0</v>
      </c>
      <c r="CE7" s="60">
        <v>0</v>
      </c>
      <c r="CF7" s="64">
        <v>0</v>
      </c>
      <c r="CG7" s="67">
        <v>0</v>
      </c>
      <c r="CH7" s="60">
        <v>0</v>
      </c>
      <c r="CI7" s="64">
        <v>0</v>
      </c>
      <c r="CJ7" s="67">
        <v>0</v>
      </c>
      <c r="CK7" s="60">
        <v>0</v>
      </c>
      <c r="CL7" s="64">
        <v>0</v>
      </c>
      <c r="CM7" s="67">
        <v>0</v>
      </c>
      <c r="CN7" s="60">
        <v>0</v>
      </c>
      <c r="CO7" s="64">
        <v>0</v>
      </c>
      <c r="CP7" s="67">
        <v>0</v>
      </c>
      <c r="CQ7" s="60">
        <v>0</v>
      </c>
    </row>
    <row r="8" spans="2:95">
      <c r="B8" s="61" t="s">
        <v>34</v>
      </c>
      <c r="C8" s="64">
        <v>20</v>
      </c>
      <c r="D8" s="67">
        <v>12</v>
      </c>
      <c r="E8" s="60">
        <v>32</v>
      </c>
      <c r="F8" s="64">
        <v>10</v>
      </c>
      <c r="G8" s="67">
        <v>1</v>
      </c>
      <c r="H8" s="60">
        <v>11</v>
      </c>
      <c r="I8" s="64">
        <v>4</v>
      </c>
      <c r="J8" s="67">
        <v>2</v>
      </c>
      <c r="K8" s="60">
        <v>6</v>
      </c>
      <c r="L8" s="64">
        <v>6</v>
      </c>
      <c r="M8" s="67">
        <v>9</v>
      </c>
      <c r="N8" s="60">
        <v>15</v>
      </c>
      <c r="O8" s="64">
        <v>0</v>
      </c>
      <c r="P8" s="67">
        <v>0</v>
      </c>
      <c r="Q8" s="69"/>
      <c r="R8" s="64">
        <v>0</v>
      </c>
      <c r="S8" s="67">
        <v>0</v>
      </c>
      <c r="T8" s="69"/>
      <c r="U8" s="64">
        <v>0</v>
      </c>
      <c r="V8" s="67">
        <v>0</v>
      </c>
      <c r="W8" s="69"/>
      <c r="X8" s="64">
        <v>6</v>
      </c>
      <c r="Y8" s="67">
        <v>23</v>
      </c>
      <c r="Z8" s="60">
        <v>29</v>
      </c>
      <c r="AA8" s="64">
        <v>0</v>
      </c>
      <c r="AB8" s="67">
        <v>4</v>
      </c>
      <c r="AC8" s="60">
        <v>4</v>
      </c>
      <c r="AD8" s="64">
        <v>0</v>
      </c>
      <c r="AE8" s="67">
        <v>6</v>
      </c>
      <c r="AF8" s="60">
        <v>6</v>
      </c>
      <c r="AG8" s="64">
        <v>6</v>
      </c>
      <c r="AH8" s="67">
        <v>13</v>
      </c>
      <c r="AI8" s="60">
        <v>19</v>
      </c>
      <c r="AJ8" s="64">
        <v>6</v>
      </c>
      <c r="AK8" s="67">
        <v>23</v>
      </c>
      <c r="AL8" s="60">
        <v>29</v>
      </c>
      <c r="AM8" s="64">
        <v>0</v>
      </c>
      <c r="AN8" s="67">
        <v>4</v>
      </c>
      <c r="AO8" s="60">
        <v>4</v>
      </c>
      <c r="AP8" s="64">
        <v>0</v>
      </c>
      <c r="AQ8" s="67">
        <v>6</v>
      </c>
      <c r="AR8" s="60">
        <v>6</v>
      </c>
      <c r="AS8" s="64">
        <v>6</v>
      </c>
      <c r="AT8" s="67">
        <v>13</v>
      </c>
      <c r="AU8" s="60">
        <v>19</v>
      </c>
      <c r="AV8" s="64">
        <v>3709</v>
      </c>
      <c r="AW8" s="67">
        <v>5410</v>
      </c>
      <c r="AX8" s="60">
        <v>9119</v>
      </c>
      <c r="AY8" s="64">
        <v>2231</v>
      </c>
      <c r="AZ8" s="67">
        <v>3055</v>
      </c>
      <c r="BA8" s="60">
        <v>5286</v>
      </c>
      <c r="BB8" s="64">
        <v>1068</v>
      </c>
      <c r="BC8" s="67">
        <v>1545</v>
      </c>
      <c r="BD8" s="60">
        <v>2613</v>
      </c>
      <c r="BE8" s="64">
        <v>410</v>
      </c>
      <c r="BF8" s="67">
        <v>810</v>
      </c>
      <c r="BG8" s="60">
        <v>1220</v>
      </c>
      <c r="BH8" s="64">
        <v>165</v>
      </c>
      <c r="BI8" s="67">
        <v>197</v>
      </c>
      <c r="BJ8" s="60">
        <v>362</v>
      </c>
      <c r="BK8" s="64">
        <v>81</v>
      </c>
      <c r="BL8" s="67">
        <v>62</v>
      </c>
      <c r="BM8" s="60">
        <v>143</v>
      </c>
      <c r="BN8" s="64">
        <v>58</v>
      </c>
      <c r="BO8" s="67">
        <v>64</v>
      </c>
      <c r="BP8" s="60">
        <v>122</v>
      </c>
      <c r="BQ8" s="64">
        <v>26</v>
      </c>
      <c r="BR8" s="67">
        <v>71</v>
      </c>
      <c r="BS8" s="60">
        <v>97</v>
      </c>
      <c r="BT8" s="64">
        <v>0</v>
      </c>
      <c r="BU8" s="67">
        <v>0</v>
      </c>
      <c r="BV8" s="60">
        <v>0</v>
      </c>
      <c r="BW8" s="64">
        <v>0</v>
      </c>
      <c r="BX8" s="67">
        <v>0</v>
      </c>
      <c r="BY8" s="60">
        <v>0</v>
      </c>
      <c r="BZ8" s="64">
        <v>0</v>
      </c>
      <c r="CA8" s="67">
        <v>0</v>
      </c>
      <c r="CB8" s="60">
        <v>0</v>
      </c>
      <c r="CC8" s="64">
        <v>0</v>
      </c>
      <c r="CD8" s="67">
        <v>0</v>
      </c>
      <c r="CE8" s="60">
        <v>0</v>
      </c>
      <c r="CF8" s="64">
        <v>0</v>
      </c>
      <c r="CG8" s="67">
        <v>0</v>
      </c>
      <c r="CH8" s="60">
        <v>0</v>
      </c>
      <c r="CI8" s="64">
        <v>0</v>
      </c>
      <c r="CJ8" s="67">
        <v>0</v>
      </c>
      <c r="CK8" s="60">
        <v>0</v>
      </c>
      <c r="CL8" s="64">
        <v>0</v>
      </c>
      <c r="CM8" s="67">
        <v>0</v>
      </c>
      <c r="CN8" s="60">
        <v>0</v>
      </c>
      <c r="CO8" s="64">
        <v>0</v>
      </c>
      <c r="CP8" s="67">
        <v>0</v>
      </c>
      <c r="CQ8" s="60">
        <v>0</v>
      </c>
    </row>
    <row r="9" spans="2:95">
      <c r="B9" s="61" t="s">
        <v>35</v>
      </c>
      <c r="C9" s="64">
        <v>71</v>
      </c>
      <c r="D9" s="67">
        <v>88</v>
      </c>
      <c r="E9" s="60">
        <v>159</v>
      </c>
      <c r="F9" s="64">
        <v>28</v>
      </c>
      <c r="G9" s="67">
        <v>19</v>
      </c>
      <c r="H9" s="60">
        <v>47</v>
      </c>
      <c r="I9" s="64">
        <v>22</v>
      </c>
      <c r="J9" s="67">
        <v>26</v>
      </c>
      <c r="K9" s="60">
        <v>48</v>
      </c>
      <c r="L9" s="64">
        <v>21</v>
      </c>
      <c r="M9" s="67">
        <v>43</v>
      </c>
      <c r="N9" s="60">
        <v>64</v>
      </c>
      <c r="O9" s="64"/>
      <c r="P9" s="67"/>
      <c r="Q9" s="69"/>
      <c r="R9" s="64"/>
      <c r="S9" s="67"/>
      <c r="T9" s="69"/>
      <c r="U9" s="64"/>
      <c r="V9" s="67"/>
      <c r="W9" s="69"/>
      <c r="X9" s="64">
        <v>9</v>
      </c>
      <c r="Y9" s="67">
        <v>22</v>
      </c>
      <c r="Z9" s="60">
        <v>31</v>
      </c>
      <c r="AA9" s="64">
        <v>2</v>
      </c>
      <c r="AB9" s="67">
        <v>4</v>
      </c>
      <c r="AC9" s="60">
        <v>6</v>
      </c>
      <c r="AD9" s="64">
        <v>3</v>
      </c>
      <c r="AE9" s="67">
        <v>7</v>
      </c>
      <c r="AF9" s="60">
        <v>10</v>
      </c>
      <c r="AG9" s="64">
        <v>4</v>
      </c>
      <c r="AH9" s="67">
        <v>11</v>
      </c>
      <c r="AI9" s="60">
        <v>15</v>
      </c>
      <c r="AJ9" s="64">
        <v>8</v>
      </c>
      <c r="AK9" s="67">
        <v>18</v>
      </c>
      <c r="AL9" s="60">
        <v>26</v>
      </c>
      <c r="AM9" s="64">
        <v>2</v>
      </c>
      <c r="AN9" s="67">
        <v>4</v>
      </c>
      <c r="AO9" s="60">
        <v>6</v>
      </c>
      <c r="AP9" s="64">
        <v>2</v>
      </c>
      <c r="AQ9" s="67">
        <v>4</v>
      </c>
      <c r="AR9" s="60">
        <v>6</v>
      </c>
      <c r="AS9" s="64">
        <v>4</v>
      </c>
      <c r="AT9" s="67">
        <v>10</v>
      </c>
      <c r="AU9" s="60">
        <v>14</v>
      </c>
      <c r="AV9" s="64">
        <v>2163</v>
      </c>
      <c r="AW9" s="67">
        <v>3192</v>
      </c>
      <c r="AX9" s="60">
        <v>5355</v>
      </c>
      <c r="AY9" s="64">
        <v>1298</v>
      </c>
      <c r="AZ9" s="67">
        <v>1679</v>
      </c>
      <c r="BA9" s="60">
        <v>2977</v>
      </c>
      <c r="BB9" s="64">
        <v>618</v>
      </c>
      <c r="BC9" s="67">
        <v>999</v>
      </c>
      <c r="BD9" s="60">
        <v>1617</v>
      </c>
      <c r="BE9" s="64">
        <v>247</v>
      </c>
      <c r="BF9" s="67">
        <v>514</v>
      </c>
      <c r="BG9" s="60">
        <v>761</v>
      </c>
      <c r="BH9" s="64">
        <v>74</v>
      </c>
      <c r="BI9" s="67">
        <v>101</v>
      </c>
      <c r="BJ9" s="60">
        <v>175</v>
      </c>
      <c r="BK9" s="64">
        <v>38</v>
      </c>
      <c r="BL9" s="67">
        <v>34</v>
      </c>
      <c r="BM9" s="60">
        <v>72</v>
      </c>
      <c r="BN9" s="64">
        <v>25</v>
      </c>
      <c r="BO9" s="67">
        <v>37</v>
      </c>
      <c r="BP9" s="60">
        <v>62</v>
      </c>
      <c r="BQ9" s="64">
        <v>11</v>
      </c>
      <c r="BR9" s="67">
        <v>30</v>
      </c>
      <c r="BS9" s="60">
        <v>41</v>
      </c>
      <c r="BT9" s="64">
        <v>1</v>
      </c>
      <c r="BU9" s="67">
        <v>4</v>
      </c>
      <c r="BV9" s="60">
        <v>5</v>
      </c>
      <c r="BW9" s="64">
        <v>0</v>
      </c>
      <c r="BX9" s="67">
        <v>0</v>
      </c>
      <c r="BY9" s="60">
        <v>0</v>
      </c>
      <c r="BZ9" s="64">
        <v>1</v>
      </c>
      <c r="CA9" s="67">
        <v>3</v>
      </c>
      <c r="CB9" s="60">
        <v>4</v>
      </c>
      <c r="CC9" s="64">
        <v>0</v>
      </c>
      <c r="CD9" s="67">
        <v>1</v>
      </c>
      <c r="CE9" s="60">
        <v>1</v>
      </c>
      <c r="CF9" s="64">
        <v>0</v>
      </c>
      <c r="CG9" s="67">
        <v>0</v>
      </c>
      <c r="CH9" s="60">
        <v>0</v>
      </c>
      <c r="CI9" s="64">
        <v>0</v>
      </c>
      <c r="CJ9" s="67">
        <v>0</v>
      </c>
      <c r="CK9" s="60">
        <v>0</v>
      </c>
      <c r="CL9" s="64">
        <v>0</v>
      </c>
      <c r="CM9" s="67">
        <v>0</v>
      </c>
      <c r="CN9" s="60">
        <v>0</v>
      </c>
      <c r="CO9" s="64">
        <v>0</v>
      </c>
      <c r="CP9" s="67">
        <v>0</v>
      </c>
      <c r="CQ9" s="60">
        <v>0</v>
      </c>
    </row>
    <row r="10" spans="2:95">
      <c r="B10" s="61" t="s">
        <v>29</v>
      </c>
      <c r="C10" s="64">
        <v>0</v>
      </c>
      <c r="D10" s="67">
        <v>0</v>
      </c>
      <c r="E10" s="60">
        <v>0</v>
      </c>
      <c r="F10" s="64">
        <v>0</v>
      </c>
      <c r="G10" s="67">
        <v>0</v>
      </c>
      <c r="H10" s="60">
        <v>0</v>
      </c>
      <c r="I10" s="64">
        <v>0</v>
      </c>
      <c r="J10" s="67">
        <v>0</v>
      </c>
      <c r="K10" s="60">
        <v>0</v>
      </c>
      <c r="L10" s="64">
        <v>0</v>
      </c>
      <c r="M10" s="67">
        <v>0</v>
      </c>
      <c r="N10" s="60">
        <v>0</v>
      </c>
      <c r="O10" s="64"/>
      <c r="P10" s="67"/>
      <c r="Q10" s="69"/>
      <c r="R10" s="64"/>
      <c r="S10" s="67"/>
      <c r="T10" s="69"/>
      <c r="U10" s="64"/>
      <c r="V10" s="67"/>
      <c r="W10" s="69"/>
      <c r="X10" s="239">
        <v>66</v>
      </c>
      <c r="Y10" s="240">
        <v>147</v>
      </c>
      <c r="Z10" s="240">
        <v>213</v>
      </c>
      <c r="AA10" s="239">
        <v>17</v>
      </c>
      <c r="AB10" s="240">
        <v>28</v>
      </c>
      <c r="AC10" s="240">
        <v>45</v>
      </c>
      <c r="AD10" s="239">
        <v>25</v>
      </c>
      <c r="AE10" s="240">
        <v>53</v>
      </c>
      <c r="AF10" s="240">
        <v>78</v>
      </c>
      <c r="AG10" s="239">
        <v>24</v>
      </c>
      <c r="AH10" s="240">
        <v>66</v>
      </c>
      <c r="AI10" s="240">
        <v>90</v>
      </c>
      <c r="AJ10" s="64">
        <v>66</v>
      </c>
      <c r="AK10" s="67">
        <v>147</v>
      </c>
      <c r="AL10" s="60">
        <v>213</v>
      </c>
      <c r="AM10" s="64">
        <v>17</v>
      </c>
      <c r="AN10" s="67">
        <v>28</v>
      </c>
      <c r="AO10" s="60">
        <v>45</v>
      </c>
      <c r="AP10" s="64">
        <v>25</v>
      </c>
      <c r="AQ10" s="67">
        <v>53</v>
      </c>
      <c r="AR10" s="60">
        <v>78</v>
      </c>
      <c r="AS10" s="64">
        <v>24</v>
      </c>
      <c r="AT10" s="67">
        <v>66</v>
      </c>
      <c r="AU10" s="60">
        <v>90</v>
      </c>
      <c r="AV10" s="64">
        <v>7757</v>
      </c>
      <c r="AW10" s="67">
        <v>12892</v>
      </c>
      <c r="AX10" s="60">
        <v>20649</v>
      </c>
      <c r="AY10" s="64">
        <v>4523</v>
      </c>
      <c r="AZ10" s="67">
        <v>6855</v>
      </c>
      <c r="BA10" s="60">
        <v>11378</v>
      </c>
      <c r="BB10" s="64">
        <v>2367</v>
      </c>
      <c r="BC10" s="67">
        <v>3949</v>
      </c>
      <c r="BD10" s="60">
        <v>6316</v>
      </c>
      <c r="BE10" s="64">
        <v>867</v>
      </c>
      <c r="BF10" s="67">
        <v>2088</v>
      </c>
      <c r="BG10" s="60">
        <v>2955</v>
      </c>
      <c r="BH10" s="64">
        <v>453</v>
      </c>
      <c r="BI10" s="67">
        <v>548</v>
      </c>
      <c r="BJ10" s="60">
        <v>1001</v>
      </c>
      <c r="BK10" s="64">
        <v>204</v>
      </c>
      <c r="BL10" s="67">
        <v>192</v>
      </c>
      <c r="BM10" s="60">
        <v>396</v>
      </c>
      <c r="BN10" s="64">
        <v>161</v>
      </c>
      <c r="BO10" s="67">
        <v>166</v>
      </c>
      <c r="BP10" s="60">
        <v>327</v>
      </c>
      <c r="BQ10" s="64">
        <v>88</v>
      </c>
      <c r="BR10" s="67">
        <v>190</v>
      </c>
      <c r="BS10" s="60">
        <v>278</v>
      </c>
      <c r="BT10" s="64">
        <v>0</v>
      </c>
      <c r="BU10" s="67">
        <v>0</v>
      </c>
      <c r="BV10" s="60">
        <v>0</v>
      </c>
      <c r="BW10" s="64">
        <v>0</v>
      </c>
      <c r="BX10" s="67">
        <v>0</v>
      </c>
      <c r="BY10" s="60">
        <v>0</v>
      </c>
      <c r="BZ10" s="64">
        <v>0</v>
      </c>
      <c r="CA10" s="67">
        <v>0</v>
      </c>
      <c r="CB10" s="60">
        <v>0</v>
      </c>
      <c r="CC10" s="64">
        <v>0</v>
      </c>
      <c r="CD10" s="67">
        <v>0</v>
      </c>
      <c r="CE10" s="60">
        <v>0</v>
      </c>
      <c r="CF10" s="64">
        <v>0</v>
      </c>
      <c r="CG10" s="67">
        <v>0</v>
      </c>
      <c r="CH10" s="60">
        <v>0</v>
      </c>
      <c r="CI10" s="64">
        <v>0</v>
      </c>
      <c r="CJ10" s="67">
        <v>0</v>
      </c>
      <c r="CK10" s="60">
        <v>0</v>
      </c>
      <c r="CL10" s="64">
        <v>0</v>
      </c>
      <c r="CM10" s="67">
        <v>0</v>
      </c>
      <c r="CN10" s="60">
        <v>0</v>
      </c>
      <c r="CO10" s="64">
        <v>0</v>
      </c>
      <c r="CP10" s="67">
        <v>0</v>
      </c>
      <c r="CQ10" s="60">
        <v>0</v>
      </c>
    </row>
    <row r="11" spans="2:95">
      <c r="B11" s="61" t="s">
        <v>36</v>
      </c>
      <c r="C11" s="64">
        <v>14</v>
      </c>
      <c r="D11" s="67">
        <v>12</v>
      </c>
      <c r="E11" s="60">
        <v>26</v>
      </c>
      <c r="F11" s="64">
        <v>4</v>
      </c>
      <c r="G11" s="67">
        <v>6</v>
      </c>
      <c r="H11" s="60">
        <v>10</v>
      </c>
      <c r="I11" s="64">
        <v>4</v>
      </c>
      <c r="J11" s="67">
        <v>4</v>
      </c>
      <c r="K11" s="60">
        <v>8</v>
      </c>
      <c r="L11" s="64">
        <v>6</v>
      </c>
      <c r="M11" s="67">
        <v>2</v>
      </c>
      <c r="N11" s="60">
        <v>8</v>
      </c>
      <c r="O11" s="64" t="s">
        <v>97</v>
      </c>
      <c r="P11" s="67" t="s">
        <v>434</v>
      </c>
      <c r="Q11" s="69"/>
      <c r="R11" s="64" t="s">
        <v>435</v>
      </c>
      <c r="S11" s="67" t="s">
        <v>436</v>
      </c>
      <c r="T11" s="69"/>
      <c r="U11" s="64" t="s">
        <v>437</v>
      </c>
      <c r="V11" s="67" t="s">
        <v>98</v>
      </c>
      <c r="W11" s="69"/>
      <c r="X11" s="64">
        <v>14</v>
      </c>
      <c r="Y11" s="67">
        <v>60</v>
      </c>
      <c r="Z11" s="60">
        <v>74</v>
      </c>
      <c r="AA11" s="64">
        <v>4</v>
      </c>
      <c r="AB11" s="67">
        <v>8</v>
      </c>
      <c r="AC11" s="60">
        <v>12</v>
      </c>
      <c r="AD11" s="64">
        <v>2</v>
      </c>
      <c r="AE11" s="67">
        <v>26</v>
      </c>
      <c r="AF11" s="60">
        <v>28</v>
      </c>
      <c r="AG11" s="64">
        <v>8</v>
      </c>
      <c r="AH11" s="67">
        <v>26</v>
      </c>
      <c r="AI11" s="60">
        <v>34</v>
      </c>
      <c r="AJ11" s="64">
        <v>14</v>
      </c>
      <c r="AK11" s="67">
        <v>60</v>
      </c>
      <c r="AL11" s="60">
        <v>74</v>
      </c>
      <c r="AM11" s="64">
        <v>4</v>
      </c>
      <c r="AN11" s="67">
        <v>8</v>
      </c>
      <c r="AO11" s="60">
        <v>12</v>
      </c>
      <c r="AP11" s="64">
        <v>2</v>
      </c>
      <c r="AQ11" s="67">
        <v>26</v>
      </c>
      <c r="AR11" s="60">
        <v>28</v>
      </c>
      <c r="AS11" s="64">
        <v>8</v>
      </c>
      <c r="AT11" s="67">
        <v>26</v>
      </c>
      <c r="AU11" s="60">
        <v>34</v>
      </c>
      <c r="AV11" s="64">
        <v>4510</v>
      </c>
      <c r="AW11" s="67">
        <v>7322</v>
      </c>
      <c r="AX11" s="60">
        <v>11832</v>
      </c>
      <c r="AY11" s="64">
        <v>2700</v>
      </c>
      <c r="AZ11" s="67">
        <v>4107</v>
      </c>
      <c r="BA11" s="60">
        <v>6807</v>
      </c>
      <c r="BB11" s="64">
        <v>1378</v>
      </c>
      <c r="BC11" s="67">
        <v>2157</v>
      </c>
      <c r="BD11" s="60">
        <v>3535</v>
      </c>
      <c r="BE11" s="64">
        <v>432</v>
      </c>
      <c r="BF11" s="67">
        <v>1058</v>
      </c>
      <c r="BG11" s="60">
        <v>1490</v>
      </c>
      <c r="BH11" s="64">
        <v>190</v>
      </c>
      <c r="BI11" s="67">
        <v>247</v>
      </c>
      <c r="BJ11" s="60">
        <v>437</v>
      </c>
      <c r="BK11" s="64">
        <v>109</v>
      </c>
      <c r="BL11" s="67">
        <v>75</v>
      </c>
      <c r="BM11" s="60">
        <v>184</v>
      </c>
      <c r="BN11" s="64">
        <v>50</v>
      </c>
      <c r="BO11" s="67">
        <v>93</v>
      </c>
      <c r="BP11" s="60">
        <v>143</v>
      </c>
      <c r="BQ11" s="64">
        <v>31</v>
      </c>
      <c r="BR11" s="67">
        <v>79</v>
      </c>
      <c r="BS11" s="60">
        <v>110</v>
      </c>
      <c r="BT11" s="64">
        <v>0</v>
      </c>
      <c r="BU11" s="67">
        <v>0</v>
      </c>
      <c r="BV11" s="60">
        <v>0</v>
      </c>
      <c r="BW11" s="64">
        <v>0</v>
      </c>
      <c r="BX11" s="67">
        <v>0</v>
      </c>
      <c r="BY11" s="60">
        <v>0</v>
      </c>
      <c r="BZ11" s="64">
        <v>0</v>
      </c>
      <c r="CA11" s="67">
        <v>0</v>
      </c>
      <c r="CB11" s="60">
        <v>0</v>
      </c>
      <c r="CC11" s="64">
        <v>0</v>
      </c>
      <c r="CD11" s="67">
        <v>0</v>
      </c>
      <c r="CE11" s="60">
        <v>0</v>
      </c>
      <c r="CF11" s="64">
        <v>0</v>
      </c>
      <c r="CG11" s="67">
        <v>0</v>
      </c>
      <c r="CH11" s="60">
        <v>0</v>
      </c>
      <c r="CI11" s="64">
        <v>0</v>
      </c>
      <c r="CJ11" s="67">
        <v>0</v>
      </c>
      <c r="CK11" s="60">
        <v>0</v>
      </c>
      <c r="CL11" s="64">
        <v>0</v>
      </c>
      <c r="CM11" s="67">
        <v>0</v>
      </c>
      <c r="CN11" s="60">
        <v>0</v>
      </c>
      <c r="CO11" s="64">
        <v>0</v>
      </c>
      <c r="CP11" s="67">
        <v>0</v>
      </c>
      <c r="CQ11" s="60">
        <v>0</v>
      </c>
    </row>
    <row r="12" spans="2:95">
      <c r="B12" s="61" t="s">
        <v>37</v>
      </c>
      <c r="C12" s="64">
        <v>25</v>
      </c>
      <c r="D12" s="67">
        <v>23</v>
      </c>
      <c r="E12" s="60">
        <v>48</v>
      </c>
      <c r="F12" s="64">
        <v>10</v>
      </c>
      <c r="G12" s="67">
        <v>3</v>
      </c>
      <c r="H12" s="60">
        <v>13</v>
      </c>
      <c r="I12" s="64">
        <v>3</v>
      </c>
      <c r="J12" s="67">
        <v>3</v>
      </c>
      <c r="K12" s="60">
        <v>6</v>
      </c>
      <c r="L12" s="64">
        <v>12</v>
      </c>
      <c r="M12" s="67">
        <v>17</v>
      </c>
      <c r="N12" s="60">
        <v>29</v>
      </c>
      <c r="O12" s="64">
        <v>0</v>
      </c>
      <c r="P12" s="67">
        <v>0</v>
      </c>
      <c r="Q12" s="69"/>
      <c r="R12" s="64">
        <v>0</v>
      </c>
      <c r="S12" s="67">
        <v>0</v>
      </c>
      <c r="T12" s="69"/>
      <c r="U12" s="64">
        <v>0</v>
      </c>
      <c r="V12" s="67">
        <v>0</v>
      </c>
      <c r="W12" s="69"/>
      <c r="X12" s="64">
        <v>14</v>
      </c>
      <c r="Y12" s="67">
        <v>55</v>
      </c>
      <c r="Z12" s="60">
        <v>69</v>
      </c>
      <c r="AA12" s="64">
        <v>6</v>
      </c>
      <c r="AB12" s="67">
        <v>4</v>
      </c>
      <c r="AC12" s="60">
        <v>10</v>
      </c>
      <c r="AD12" s="64">
        <v>4</v>
      </c>
      <c r="AE12" s="67">
        <v>12</v>
      </c>
      <c r="AF12" s="60">
        <v>16</v>
      </c>
      <c r="AG12" s="64">
        <v>4</v>
      </c>
      <c r="AH12" s="67">
        <v>39</v>
      </c>
      <c r="AI12" s="60">
        <v>43</v>
      </c>
      <c r="AJ12" s="64">
        <v>14</v>
      </c>
      <c r="AK12" s="67">
        <v>55</v>
      </c>
      <c r="AL12" s="60">
        <v>69</v>
      </c>
      <c r="AM12" s="64">
        <v>6</v>
      </c>
      <c r="AN12" s="67">
        <v>4</v>
      </c>
      <c r="AO12" s="60">
        <v>10</v>
      </c>
      <c r="AP12" s="64">
        <v>4</v>
      </c>
      <c r="AQ12" s="67">
        <v>12</v>
      </c>
      <c r="AR12" s="60">
        <v>16</v>
      </c>
      <c r="AS12" s="64">
        <v>4</v>
      </c>
      <c r="AT12" s="67">
        <v>39</v>
      </c>
      <c r="AU12" s="60">
        <v>43</v>
      </c>
      <c r="AV12" s="64">
        <v>3128</v>
      </c>
      <c r="AW12" s="67">
        <v>5783</v>
      </c>
      <c r="AX12" s="60">
        <v>8911</v>
      </c>
      <c r="AY12" s="64">
        <v>1847</v>
      </c>
      <c r="AZ12" s="67">
        <v>3030</v>
      </c>
      <c r="BA12" s="60">
        <v>4877</v>
      </c>
      <c r="BB12" s="64">
        <v>891</v>
      </c>
      <c r="BC12" s="67">
        <v>1666</v>
      </c>
      <c r="BD12" s="60">
        <v>2557</v>
      </c>
      <c r="BE12" s="64">
        <v>390</v>
      </c>
      <c r="BF12" s="67">
        <v>1087</v>
      </c>
      <c r="BG12" s="60">
        <v>1477</v>
      </c>
      <c r="BH12" s="64">
        <v>119</v>
      </c>
      <c r="BI12" s="67">
        <v>179</v>
      </c>
      <c r="BJ12" s="60">
        <v>298</v>
      </c>
      <c r="BK12" s="64">
        <v>54</v>
      </c>
      <c r="BL12" s="67">
        <v>58</v>
      </c>
      <c r="BM12" s="60">
        <v>112</v>
      </c>
      <c r="BN12" s="64">
        <v>37</v>
      </c>
      <c r="BO12" s="67">
        <v>54</v>
      </c>
      <c r="BP12" s="60">
        <v>91</v>
      </c>
      <c r="BQ12" s="64">
        <v>28</v>
      </c>
      <c r="BR12" s="67">
        <v>67</v>
      </c>
      <c r="BS12" s="60">
        <v>95</v>
      </c>
      <c r="BT12" s="64">
        <v>0</v>
      </c>
      <c r="BU12" s="67">
        <v>0</v>
      </c>
      <c r="BV12" s="60">
        <v>0</v>
      </c>
      <c r="BW12" s="64">
        <v>0</v>
      </c>
      <c r="BX12" s="67">
        <v>0</v>
      </c>
      <c r="BY12" s="60">
        <v>0</v>
      </c>
      <c r="BZ12" s="64">
        <v>0</v>
      </c>
      <c r="CA12" s="67">
        <v>0</v>
      </c>
      <c r="CB12" s="60">
        <v>0</v>
      </c>
      <c r="CC12" s="64">
        <v>0</v>
      </c>
      <c r="CD12" s="67">
        <v>0</v>
      </c>
      <c r="CE12" s="60">
        <v>0</v>
      </c>
      <c r="CF12" s="64">
        <v>0</v>
      </c>
      <c r="CG12" s="67">
        <v>0</v>
      </c>
      <c r="CH12" s="60">
        <v>0</v>
      </c>
      <c r="CI12" s="64">
        <v>0</v>
      </c>
      <c r="CJ12" s="67">
        <v>0</v>
      </c>
      <c r="CK12" s="60">
        <v>0</v>
      </c>
      <c r="CL12" s="64">
        <v>0</v>
      </c>
      <c r="CM12" s="67">
        <v>0</v>
      </c>
      <c r="CN12" s="60">
        <v>0</v>
      </c>
      <c r="CO12" s="64">
        <v>0</v>
      </c>
      <c r="CP12" s="67">
        <v>0</v>
      </c>
      <c r="CQ12" s="60">
        <v>0</v>
      </c>
    </row>
    <row r="13" spans="2:95">
      <c r="B13" s="61" t="s">
        <v>38</v>
      </c>
      <c r="C13" s="64">
        <v>122</v>
      </c>
      <c r="D13" s="67">
        <v>127</v>
      </c>
      <c r="E13" s="60">
        <v>249</v>
      </c>
      <c r="F13" s="64">
        <v>38</v>
      </c>
      <c r="G13" s="67">
        <v>22</v>
      </c>
      <c r="H13" s="60">
        <v>60</v>
      </c>
      <c r="I13" s="64">
        <v>40</v>
      </c>
      <c r="J13" s="67">
        <v>28</v>
      </c>
      <c r="K13" s="60">
        <v>68</v>
      </c>
      <c r="L13" s="64">
        <v>44</v>
      </c>
      <c r="M13" s="67">
        <v>77</v>
      </c>
      <c r="N13" s="60">
        <v>121</v>
      </c>
      <c r="O13" s="64"/>
      <c r="P13" s="67"/>
      <c r="Q13" s="69"/>
      <c r="R13" s="64"/>
      <c r="S13" s="67"/>
      <c r="T13" s="69"/>
      <c r="U13" s="64"/>
      <c r="V13" s="67"/>
      <c r="W13" s="69"/>
      <c r="X13" s="64">
        <v>0</v>
      </c>
      <c r="Y13" s="67">
        <v>0</v>
      </c>
      <c r="Z13" s="60">
        <v>0</v>
      </c>
      <c r="AA13" s="64">
        <v>0</v>
      </c>
      <c r="AB13" s="67">
        <v>0</v>
      </c>
      <c r="AC13" s="60">
        <v>0</v>
      </c>
      <c r="AD13" s="64">
        <v>0</v>
      </c>
      <c r="AE13" s="67">
        <v>0</v>
      </c>
      <c r="AF13" s="60">
        <v>0</v>
      </c>
      <c r="AG13" s="64">
        <v>0</v>
      </c>
      <c r="AH13" s="67">
        <v>0</v>
      </c>
      <c r="AI13" s="60">
        <v>0</v>
      </c>
      <c r="AJ13" s="64">
        <v>0</v>
      </c>
      <c r="AK13" s="67">
        <v>0</v>
      </c>
      <c r="AL13" s="60">
        <v>0</v>
      </c>
      <c r="AM13" s="64">
        <v>0</v>
      </c>
      <c r="AN13" s="67">
        <v>0</v>
      </c>
      <c r="AO13" s="60">
        <v>0</v>
      </c>
      <c r="AP13" s="64">
        <v>0</v>
      </c>
      <c r="AQ13" s="67">
        <v>0</v>
      </c>
      <c r="AR13" s="60">
        <v>0</v>
      </c>
      <c r="AS13" s="64">
        <v>0</v>
      </c>
      <c r="AT13" s="67">
        <v>0</v>
      </c>
      <c r="AU13" s="60">
        <v>0</v>
      </c>
      <c r="AV13" s="64">
        <v>3797</v>
      </c>
      <c r="AW13" s="67">
        <v>5720</v>
      </c>
      <c r="AX13" s="60">
        <v>9517</v>
      </c>
      <c r="AY13" s="64">
        <v>2051</v>
      </c>
      <c r="AZ13" s="67">
        <v>3171</v>
      </c>
      <c r="BA13" s="60">
        <v>5222</v>
      </c>
      <c r="BB13" s="64">
        <v>1154</v>
      </c>
      <c r="BC13" s="67">
        <v>1691</v>
      </c>
      <c r="BD13" s="60">
        <v>2845</v>
      </c>
      <c r="BE13" s="64">
        <v>592</v>
      </c>
      <c r="BF13" s="67">
        <v>858</v>
      </c>
      <c r="BG13" s="60">
        <v>1450</v>
      </c>
      <c r="BH13" s="64">
        <v>120</v>
      </c>
      <c r="BI13" s="67">
        <v>219</v>
      </c>
      <c r="BJ13" s="60">
        <v>339</v>
      </c>
      <c r="BK13" s="64">
        <v>82</v>
      </c>
      <c r="BL13" s="67">
        <v>65</v>
      </c>
      <c r="BM13" s="60">
        <v>147</v>
      </c>
      <c r="BN13" s="64">
        <v>13</v>
      </c>
      <c r="BO13" s="67">
        <v>89</v>
      </c>
      <c r="BP13" s="60">
        <v>102</v>
      </c>
      <c r="BQ13" s="64">
        <v>25</v>
      </c>
      <c r="BR13" s="67">
        <v>65</v>
      </c>
      <c r="BS13" s="60">
        <v>90</v>
      </c>
      <c r="BT13" s="64">
        <v>0</v>
      </c>
      <c r="BU13" s="67">
        <v>0</v>
      </c>
      <c r="BV13" s="60">
        <v>0</v>
      </c>
      <c r="BW13" s="64">
        <v>0</v>
      </c>
      <c r="BX13" s="67">
        <v>0</v>
      </c>
      <c r="BY13" s="60">
        <v>0</v>
      </c>
      <c r="BZ13" s="64">
        <v>0</v>
      </c>
      <c r="CA13" s="67">
        <v>0</v>
      </c>
      <c r="CB13" s="60">
        <v>0</v>
      </c>
      <c r="CC13" s="64">
        <v>0</v>
      </c>
      <c r="CD13" s="67">
        <v>0</v>
      </c>
      <c r="CE13" s="60">
        <v>0</v>
      </c>
      <c r="CF13" s="64">
        <v>0</v>
      </c>
      <c r="CG13" s="67">
        <v>0</v>
      </c>
      <c r="CH13" s="60">
        <v>0</v>
      </c>
      <c r="CI13" s="64">
        <v>0</v>
      </c>
      <c r="CJ13" s="67">
        <v>0</v>
      </c>
      <c r="CK13" s="60">
        <v>0</v>
      </c>
      <c r="CL13" s="64">
        <v>0</v>
      </c>
      <c r="CM13" s="67">
        <v>0</v>
      </c>
      <c r="CN13" s="60">
        <v>0</v>
      </c>
      <c r="CO13" s="64">
        <v>0</v>
      </c>
      <c r="CP13" s="67">
        <v>0</v>
      </c>
      <c r="CQ13" s="60">
        <v>0</v>
      </c>
    </row>
    <row r="14" spans="2:95">
      <c r="B14" s="61" t="s">
        <v>39</v>
      </c>
      <c r="C14" s="64">
        <v>237</v>
      </c>
      <c r="D14" s="67">
        <v>213</v>
      </c>
      <c r="E14" s="60">
        <v>450</v>
      </c>
      <c r="F14" s="64">
        <v>69</v>
      </c>
      <c r="G14" s="67">
        <v>46</v>
      </c>
      <c r="H14" s="60">
        <v>115</v>
      </c>
      <c r="I14" s="64">
        <v>73</v>
      </c>
      <c r="J14" s="67">
        <v>52</v>
      </c>
      <c r="K14" s="60">
        <v>125</v>
      </c>
      <c r="L14" s="64">
        <v>95</v>
      </c>
      <c r="M14" s="67">
        <v>115</v>
      </c>
      <c r="N14" s="60">
        <v>210</v>
      </c>
      <c r="O14" s="64">
        <v>0</v>
      </c>
      <c r="P14" s="67">
        <v>0</v>
      </c>
      <c r="Q14" s="69"/>
      <c r="R14" s="64">
        <v>0</v>
      </c>
      <c r="S14" s="67">
        <v>0</v>
      </c>
      <c r="T14" s="69"/>
      <c r="U14" s="64">
        <v>0</v>
      </c>
      <c r="V14" s="67">
        <v>0</v>
      </c>
      <c r="W14" s="69"/>
      <c r="X14" s="64">
        <v>6</v>
      </c>
      <c r="Y14" s="67">
        <v>17</v>
      </c>
      <c r="Z14" s="60">
        <v>23</v>
      </c>
      <c r="AA14" s="64">
        <v>2</v>
      </c>
      <c r="AB14" s="67">
        <v>2</v>
      </c>
      <c r="AC14" s="60">
        <v>4</v>
      </c>
      <c r="AD14" s="64">
        <v>3</v>
      </c>
      <c r="AE14" s="67">
        <v>8</v>
      </c>
      <c r="AF14" s="60">
        <v>11</v>
      </c>
      <c r="AG14" s="64">
        <v>1</v>
      </c>
      <c r="AH14" s="67">
        <v>7</v>
      </c>
      <c r="AI14" s="60">
        <v>8</v>
      </c>
      <c r="AJ14" s="64">
        <v>5</v>
      </c>
      <c r="AK14" s="67">
        <v>14</v>
      </c>
      <c r="AL14" s="60">
        <v>19</v>
      </c>
      <c r="AM14" s="64">
        <v>2</v>
      </c>
      <c r="AN14" s="67">
        <v>1</v>
      </c>
      <c r="AO14" s="60">
        <v>3</v>
      </c>
      <c r="AP14" s="64">
        <v>3</v>
      </c>
      <c r="AQ14" s="67">
        <v>6</v>
      </c>
      <c r="AR14" s="60">
        <v>9</v>
      </c>
      <c r="AS14" s="64">
        <v>0</v>
      </c>
      <c r="AT14" s="67">
        <v>7</v>
      </c>
      <c r="AU14" s="60">
        <v>7</v>
      </c>
      <c r="AV14" s="64">
        <v>6216</v>
      </c>
      <c r="AW14" s="67">
        <v>9975</v>
      </c>
      <c r="AX14" s="60">
        <v>16191</v>
      </c>
      <c r="AY14" s="64">
        <v>3587</v>
      </c>
      <c r="AZ14" s="67">
        <v>5086</v>
      </c>
      <c r="BA14" s="60">
        <v>8673</v>
      </c>
      <c r="BB14" s="64">
        <v>1909</v>
      </c>
      <c r="BC14" s="67">
        <v>3129</v>
      </c>
      <c r="BD14" s="60">
        <v>5038</v>
      </c>
      <c r="BE14" s="64">
        <v>720</v>
      </c>
      <c r="BF14" s="67">
        <v>1760</v>
      </c>
      <c r="BG14" s="60">
        <v>2480</v>
      </c>
      <c r="BH14" s="64">
        <v>267</v>
      </c>
      <c r="BI14" s="67">
        <v>286</v>
      </c>
      <c r="BJ14" s="60">
        <v>553</v>
      </c>
      <c r="BK14" s="64">
        <v>133</v>
      </c>
      <c r="BL14" s="67">
        <v>105</v>
      </c>
      <c r="BM14" s="60">
        <v>238</v>
      </c>
      <c r="BN14" s="64">
        <v>84</v>
      </c>
      <c r="BO14" s="67">
        <v>88</v>
      </c>
      <c r="BP14" s="60">
        <v>172</v>
      </c>
      <c r="BQ14" s="64">
        <v>50</v>
      </c>
      <c r="BR14" s="67">
        <v>93</v>
      </c>
      <c r="BS14" s="60">
        <v>143</v>
      </c>
      <c r="BT14" s="64">
        <v>0</v>
      </c>
      <c r="BU14" s="67">
        <v>0</v>
      </c>
      <c r="BV14" s="60">
        <v>0</v>
      </c>
      <c r="BW14" s="64">
        <v>0</v>
      </c>
      <c r="BX14" s="67">
        <v>0</v>
      </c>
      <c r="BY14" s="60">
        <v>0</v>
      </c>
      <c r="BZ14" s="64">
        <v>0</v>
      </c>
      <c r="CA14" s="67">
        <v>0</v>
      </c>
      <c r="CB14" s="60">
        <v>0</v>
      </c>
      <c r="CC14" s="64">
        <v>0</v>
      </c>
      <c r="CD14" s="67">
        <v>0</v>
      </c>
      <c r="CE14" s="60">
        <v>0</v>
      </c>
      <c r="CF14" s="64">
        <v>0</v>
      </c>
      <c r="CG14" s="67">
        <v>0</v>
      </c>
      <c r="CH14" s="60">
        <v>0</v>
      </c>
      <c r="CI14" s="64">
        <v>0</v>
      </c>
      <c r="CJ14" s="67">
        <v>0</v>
      </c>
      <c r="CK14" s="60">
        <v>0</v>
      </c>
      <c r="CL14" s="64">
        <v>0</v>
      </c>
      <c r="CM14" s="67">
        <v>0</v>
      </c>
      <c r="CN14" s="60">
        <v>0</v>
      </c>
      <c r="CO14" s="64">
        <v>0</v>
      </c>
      <c r="CP14" s="67">
        <v>0</v>
      </c>
      <c r="CQ14" s="60">
        <v>0</v>
      </c>
    </row>
    <row r="15" spans="2:95">
      <c r="B15" s="61" t="s">
        <v>40</v>
      </c>
      <c r="C15" s="64">
        <v>85</v>
      </c>
      <c r="D15" s="67">
        <v>91</v>
      </c>
      <c r="E15" s="60">
        <v>176</v>
      </c>
      <c r="F15" s="64">
        <v>34</v>
      </c>
      <c r="G15" s="67">
        <v>25</v>
      </c>
      <c r="H15" s="60">
        <v>59</v>
      </c>
      <c r="I15" s="64">
        <v>32</v>
      </c>
      <c r="J15" s="67">
        <v>21</v>
      </c>
      <c r="K15" s="60">
        <v>53</v>
      </c>
      <c r="L15" s="64">
        <v>19</v>
      </c>
      <c r="M15" s="67">
        <v>45</v>
      </c>
      <c r="N15" s="60">
        <v>64</v>
      </c>
      <c r="O15" s="64"/>
      <c r="P15" s="67"/>
      <c r="Q15" s="69"/>
      <c r="R15" s="64"/>
      <c r="S15" s="67"/>
      <c r="T15" s="69"/>
      <c r="U15" s="64"/>
      <c r="V15" s="67"/>
      <c r="W15" s="69"/>
      <c r="X15" s="64">
        <v>28</v>
      </c>
      <c r="Y15" s="67">
        <v>85</v>
      </c>
      <c r="Z15" s="60">
        <v>113</v>
      </c>
      <c r="AA15" s="64">
        <v>5</v>
      </c>
      <c r="AB15" s="67">
        <v>16</v>
      </c>
      <c r="AC15" s="60">
        <v>21</v>
      </c>
      <c r="AD15" s="64">
        <v>13</v>
      </c>
      <c r="AE15" s="67">
        <v>28</v>
      </c>
      <c r="AF15" s="60">
        <v>41</v>
      </c>
      <c r="AG15" s="64">
        <v>10</v>
      </c>
      <c r="AH15" s="67">
        <v>41</v>
      </c>
      <c r="AI15" s="60">
        <v>51</v>
      </c>
      <c r="AJ15" s="64">
        <v>9</v>
      </c>
      <c r="AK15" s="67">
        <v>19</v>
      </c>
      <c r="AL15" s="60">
        <v>28</v>
      </c>
      <c r="AM15" s="64">
        <v>3</v>
      </c>
      <c r="AN15" s="67">
        <v>3</v>
      </c>
      <c r="AO15" s="60">
        <v>6</v>
      </c>
      <c r="AP15" s="64">
        <v>4</v>
      </c>
      <c r="AQ15" s="67">
        <v>8</v>
      </c>
      <c r="AR15" s="60">
        <v>12</v>
      </c>
      <c r="AS15" s="64">
        <v>2</v>
      </c>
      <c r="AT15" s="67">
        <v>8</v>
      </c>
      <c r="AU15" s="60">
        <v>10</v>
      </c>
      <c r="AV15" s="64">
        <v>2917</v>
      </c>
      <c r="AW15" s="67">
        <v>4303</v>
      </c>
      <c r="AX15" s="60">
        <v>7220</v>
      </c>
      <c r="AY15" s="64">
        <v>1625</v>
      </c>
      <c r="AZ15" s="67">
        <v>2293</v>
      </c>
      <c r="BA15" s="60">
        <v>3918</v>
      </c>
      <c r="BB15" s="64">
        <v>961</v>
      </c>
      <c r="BC15" s="67">
        <v>1380</v>
      </c>
      <c r="BD15" s="60">
        <v>2341</v>
      </c>
      <c r="BE15" s="64">
        <v>331</v>
      </c>
      <c r="BF15" s="67">
        <v>630</v>
      </c>
      <c r="BG15" s="60">
        <v>961</v>
      </c>
      <c r="BH15" s="64">
        <v>150</v>
      </c>
      <c r="BI15" s="67">
        <v>193</v>
      </c>
      <c r="BJ15" s="60">
        <v>343</v>
      </c>
      <c r="BK15" s="64">
        <v>72</v>
      </c>
      <c r="BL15" s="67">
        <v>60</v>
      </c>
      <c r="BM15" s="60">
        <v>132</v>
      </c>
      <c r="BN15" s="64">
        <v>54</v>
      </c>
      <c r="BO15" s="67">
        <v>68</v>
      </c>
      <c r="BP15" s="60">
        <v>122</v>
      </c>
      <c r="BQ15" s="64">
        <v>24</v>
      </c>
      <c r="BR15" s="67">
        <v>65</v>
      </c>
      <c r="BS15" s="60">
        <v>89</v>
      </c>
      <c r="BT15" s="64">
        <v>0</v>
      </c>
      <c r="BU15" s="67">
        <v>0</v>
      </c>
      <c r="BV15" s="60">
        <v>0</v>
      </c>
      <c r="BW15" s="64">
        <v>0</v>
      </c>
      <c r="BX15" s="67">
        <v>0</v>
      </c>
      <c r="BY15" s="60">
        <v>0</v>
      </c>
      <c r="BZ15" s="64">
        <v>0</v>
      </c>
      <c r="CA15" s="67">
        <v>0</v>
      </c>
      <c r="CB15" s="60">
        <v>0</v>
      </c>
      <c r="CC15" s="64">
        <v>0</v>
      </c>
      <c r="CD15" s="67">
        <v>0</v>
      </c>
      <c r="CE15" s="60">
        <v>0</v>
      </c>
      <c r="CF15" s="64">
        <v>0</v>
      </c>
      <c r="CG15" s="67">
        <v>0</v>
      </c>
      <c r="CH15" s="60">
        <v>0</v>
      </c>
      <c r="CI15" s="64">
        <v>0</v>
      </c>
      <c r="CJ15" s="67">
        <v>0</v>
      </c>
      <c r="CK15" s="60">
        <v>0</v>
      </c>
      <c r="CL15" s="64">
        <v>0</v>
      </c>
      <c r="CM15" s="67">
        <v>0</v>
      </c>
      <c r="CN15" s="60">
        <v>0</v>
      </c>
      <c r="CO15" s="64">
        <v>0</v>
      </c>
      <c r="CP15" s="67">
        <v>0</v>
      </c>
      <c r="CQ15" s="60">
        <v>0</v>
      </c>
    </row>
    <row r="16" spans="2:95">
      <c r="B16" s="61" t="s">
        <v>41</v>
      </c>
      <c r="C16" s="64">
        <f>F16+I16+L16</f>
        <v>98</v>
      </c>
      <c r="D16" s="67">
        <f>G16+J16+M16</f>
        <v>129</v>
      </c>
      <c r="E16" s="60">
        <f>H16+K16+N16</f>
        <v>227</v>
      </c>
      <c r="F16" s="64">
        <v>32</v>
      </c>
      <c r="G16" s="67">
        <v>23</v>
      </c>
      <c r="H16" s="60">
        <f>SUM(F16:G16)</f>
        <v>55</v>
      </c>
      <c r="I16" s="64">
        <v>29</v>
      </c>
      <c r="J16" s="67">
        <v>29</v>
      </c>
      <c r="K16" s="60">
        <f>SUM(I16:J16)</f>
        <v>58</v>
      </c>
      <c r="L16" s="64">
        <v>37</v>
      </c>
      <c r="M16" s="67">
        <v>77</v>
      </c>
      <c r="N16" s="60">
        <f>SUM(L16:M16)</f>
        <v>114</v>
      </c>
      <c r="O16" s="64"/>
      <c r="P16" s="67"/>
      <c r="Q16" s="69"/>
      <c r="R16" s="64"/>
      <c r="S16" s="67"/>
      <c r="T16" s="69"/>
      <c r="U16" s="64"/>
      <c r="V16" s="67"/>
      <c r="W16" s="69"/>
      <c r="X16" s="64">
        <v>5</v>
      </c>
      <c r="Y16" s="67">
        <v>8</v>
      </c>
      <c r="Z16" s="60">
        <v>13</v>
      </c>
      <c r="AA16" s="64">
        <v>2</v>
      </c>
      <c r="AB16" s="67">
        <v>3</v>
      </c>
      <c r="AC16" s="60">
        <v>5</v>
      </c>
      <c r="AD16" s="64">
        <v>2</v>
      </c>
      <c r="AE16" s="67">
        <v>1</v>
      </c>
      <c r="AF16" s="60">
        <v>3</v>
      </c>
      <c r="AG16" s="64">
        <v>1</v>
      </c>
      <c r="AH16" s="67">
        <v>4</v>
      </c>
      <c r="AI16" s="60">
        <v>5</v>
      </c>
      <c r="AJ16" s="64">
        <v>2</v>
      </c>
      <c r="AK16" s="67">
        <v>3</v>
      </c>
      <c r="AL16" s="60">
        <v>5</v>
      </c>
      <c r="AM16" s="64">
        <v>1</v>
      </c>
      <c r="AN16" s="67">
        <v>2</v>
      </c>
      <c r="AO16" s="60">
        <v>3</v>
      </c>
      <c r="AP16" s="64">
        <v>0</v>
      </c>
      <c r="AQ16" s="67">
        <v>1</v>
      </c>
      <c r="AR16" s="60">
        <v>1</v>
      </c>
      <c r="AS16" s="64">
        <v>1</v>
      </c>
      <c r="AT16" s="67">
        <v>0</v>
      </c>
      <c r="AU16" s="60">
        <v>1</v>
      </c>
      <c r="AV16" s="64">
        <v>3269</v>
      </c>
      <c r="AW16" s="67">
        <v>5267</v>
      </c>
      <c r="AX16" s="60">
        <v>8536</v>
      </c>
      <c r="AY16" s="64">
        <v>1688</v>
      </c>
      <c r="AZ16" s="67">
        <v>2532</v>
      </c>
      <c r="BA16" s="60">
        <v>4220</v>
      </c>
      <c r="BB16" s="64">
        <v>1133</v>
      </c>
      <c r="BC16" s="67">
        <v>1759</v>
      </c>
      <c r="BD16" s="60">
        <v>2892</v>
      </c>
      <c r="BE16" s="64">
        <v>448</v>
      </c>
      <c r="BF16" s="67">
        <v>976</v>
      </c>
      <c r="BG16" s="60">
        <v>1424</v>
      </c>
      <c r="BH16" s="64">
        <v>124</v>
      </c>
      <c r="BI16" s="67">
        <v>211</v>
      </c>
      <c r="BJ16" s="60">
        <v>335</v>
      </c>
      <c r="BK16" s="64">
        <v>67</v>
      </c>
      <c r="BL16" s="67">
        <v>77</v>
      </c>
      <c r="BM16" s="60">
        <v>144</v>
      </c>
      <c r="BN16" s="64">
        <v>42</v>
      </c>
      <c r="BO16" s="67">
        <v>74</v>
      </c>
      <c r="BP16" s="60">
        <v>116</v>
      </c>
      <c r="BQ16" s="64">
        <v>15</v>
      </c>
      <c r="BR16" s="67">
        <v>60</v>
      </c>
      <c r="BS16" s="60">
        <v>75</v>
      </c>
      <c r="BT16" s="64">
        <v>0</v>
      </c>
      <c r="BU16" s="67">
        <v>0</v>
      </c>
      <c r="BV16" s="60">
        <v>0</v>
      </c>
      <c r="BW16" s="64">
        <v>0</v>
      </c>
      <c r="BX16" s="67">
        <v>0</v>
      </c>
      <c r="BY16" s="60">
        <v>0</v>
      </c>
      <c r="BZ16" s="64">
        <v>0</v>
      </c>
      <c r="CA16" s="67">
        <v>0</v>
      </c>
      <c r="CB16" s="60">
        <v>0</v>
      </c>
      <c r="CC16" s="64">
        <v>0</v>
      </c>
      <c r="CD16" s="67">
        <v>0</v>
      </c>
      <c r="CE16" s="60">
        <v>0</v>
      </c>
      <c r="CF16" s="64">
        <v>0</v>
      </c>
      <c r="CG16" s="67">
        <v>0</v>
      </c>
      <c r="CH16" s="60">
        <v>0</v>
      </c>
      <c r="CI16" s="64">
        <v>0</v>
      </c>
      <c r="CJ16" s="67">
        <v>0</v>
      </c>
      <c r="CK16" s="60">
        <v>0</v>
      </c>
      <c r="CL16" s="64">
        <v>0</v>
      </c>
      <c r="CM16" s="67">
        <v>0</v>
      </c>
      <c r="CN16" s="60">
        <v>0</v>
      </c>
      <c r="CO16" s="64">
        <v>0</v>
      </c>
      <c r="CP16" s="67">
        <v>0</v>
      </c>
      <c r="CQ16" s="60">
        <v>0</v>
      </c>
    </row>
    <row r="17" spans="2:95">
      <c r="B17" s="61" t="s">
        <v>42</v>
      </c>
      <c r="C17" s="64">
        <v>18</v>
      </c>
      <c r="D17" s="67">
        <v>26</v>
      </c>
      <c r="E17" s="60">
        <v>44</v>
      </c>
      <c r="F17" s="64">
        <v>5</v>
      </c>
      <c r="G17" s="67">
        <v>5</v>
      </c>
      <c r="H17" s="60">
        <v>10</v>
      </c>
      <c r="I17" s="64">
        <v>7</v>
      </c>
      <c r="J17" s="67">
        <v>6</v>
      </c>
      <c r="K17" s="60">
        <v>13</v>
      </c>
      <c r="L17" s="64">
        <v>6</v>
      </c>
      <c r="M17" s="67">
        <v>15</v>
      </c>
      <c r="N17" s="60">
        <v>21</v>
      </c>
      <c r="O17" s="64" t="s">
        <v>97</v>
      </c>
      <c r="P17" s="67" t="s">
        <v>96</v>
      </c>
      <c r="Q17" s="69"/>
      <c r="R17" s="64" t="s">
        <v>98</v>
      </c>
      <c r="S17" s="67" t="s">
        <v>438</v>
      </c>
      <c r="T17" s="69"/>
      <c r="U17" s="64" t="s">
        <v>397</v>
      </c>
      <c r="V17" s="67" t="s">
        <v>100</v>
      </c>
      <c r="W17" s="69"/>
      <c r="X17" s="64">
        <v>8</v>
      </c>
      <c r="Y17" s="67">
        <v>14</v>
      </c>
      <c r="Z17" s="60">
        <v>22</v>
      </c>
      <c r="AA17" s="64">
        <v>3</v>
      </c>
      <c r="AB17" s="67">
        <v>2</v>
      </c>
      <c r="AC17" s="60">
        <v>5</v>
      </c>
      <c r="AD17" s="64">
        <v>2</v>
      </c>
      <c r="AE17" s="67">
        <v>6</v>
      </c>
      <c r="AF17" s="60">
        <v>8</v>
      </c>
      <c r="AG17" s="64">
        <v>3</v>
      </c>
      <c r="AH17" s="67">
        <v>6</v>
      </c>
      <c r="AI17" s="60">
        <v>9</v>
      </c>
      <c r="AJ17" s="64">
        <v>8</v>
      </c>
      <c r="AK17" s="67">
        <v>14</v>
      </c>
      <c r="AL17" s="60">
        <v>22</v>
      </c>
      <c r="AM17" s="64">
        <v>3</v>
      </c>
      <c r="AN17" s="67">
        <v>2</v>
      </c>
      <c r="AO17" s="60">
        <v>5</v>
      </c>
      <c r="AP17" s="64">
        <v>2</v>
      </c>
      <c r="AQ17" s="67">
        <v>6</v>
      </c>
      <c r="AR17" s="60">
        <v>8</v>
      </c>
      <c r="AS17" s="64">
        <v>3</v>
      </c>
      <c r="AT17" s="67">
        <v>6</v>
      </c>
      <c r="AU17" s="60">
        <v>9</v>
      </c>
      <c r="AV17" s="64">
        <v>5999</v>
      </c>
      <c r="AW17" s="67">
        <v>9269</v>
      </c>
      <c r="AX17" s="60">
        <v>15268</v>
      </c>
      <c r="AY17" s="64">
        <v>3924</v>
      </c>
      <c r="AZ17" s="67">
        <v>5543</v>
      </c>
      <c r="BA17" s="60">
        <v>9467</v>
      </c>
      <c r="BB17" s="64">
        <v>1533</v>
      </c>
      <c r="BC17" s="67">
        <v>2412</v>
      </c>
      <c r="BD17" s="60">
        <v>3945</v>
      </c>
      <c r="BE17" s="64">
        <v>542</v>
      </c>
      <c r="BF17" s="67">
        <v>1314</v>
      </c>
      <c r="BG17" s="60">
        <v>1856</v>
      </c>
      <c r="BH17" s="64">
        <v>299</v>
      </c>
      <c r="BI17" s="67">
        <v>346</v>
      </c>
      <c r="BJ17" s="60">
        <v>645</v>
      </c>
      <c r="BK17" s="64">
        <v>135</v>
      </c>
      <c r="BL17" s="67">
        <v>130</v>
      </c>
      <c r="BM17" s="60">
        <v>265</v>
      </c>
      <c r="BN17" s="64">
        <v>109</v>
      </c>
      <c r="BO17" s="67">
        <v>102</v>
      </c>
      <c r="BP17" s="60">
        <v>211</v>
      </c>
      <c r="BQ17" s="64">
        <v>55</v>
      </c>
      <c r="BR17" s="67">
        <v>114</v>
      </c>
      <c r="BS17" s="60">
        <v>169</v>
      </c>
      <c r="BT17" s="64">
        <v>28</v>
      </c>
      <c r="BU17" s="67">
        <v>49</v>
      </c>
      <c r="BV17" s="60">
        <v>77</v>
      </c>
      <c r="BW17" s="64">
        <v>25</v>
      </c>
      <c r="BX17" s="67">
        <v>23</v>
      </c>
      <c r="BY17" s="60">
        <v>48</v>
      </c>
      <c r="BZ17" s="64">
        <v>3</v>
      </c>
      <c r="CA17" s="67">
        <v>16</v>
      </c>
      <c r="CB17" s="60">
        <v>19</v>
      </c>
      <c r="CC17" s="64">
        <v>0</v>
      </c>
      <c r="CD17" s="67">
        <v>10</v>
      </c>
      <c r="CE17" s="60">
        <v>10</v>
      </c>
      <c r="CF17" s="64">
        <v>0</v>
      </c>
      <c r="CG17" s="67">
        <v>0</v>
      </c>
      <c r="CH17" s="60">
        <v>0</v>
      </c>
      <c r="CI17" s="64">
        <v>0</v>
      </c>
      <c r="CJ17" s="67">
        <v>0</v>
      </c>
      <c r="CK17" s="60">
        <v>0</v>
      </c>
      <c r="CL17" s="64">
        <v>0</v>
      </c>
      <c r="CM17" s="67">
        <v>0</v>
      </c>
      <c r="CN17" s="60">
        <v>0</v>
      </c>
      <c r="CO17" s="64">
        <v>0</v>
      </c>
      <c r="CP17" s="67">
        <v>0</v>
      </c>
      <c r="CQ17" s="60">
        <v>0</v>
      </c>
    </row>
    <row r="18" spans="2:95">
      <c r="B18" s="61" t="s">
        <v>43</v>
      </c>
      <c r="C18" s="64">
        <v>49</v>
      </c>
      <c r="D18" s="67">
        <v>40</v>
      </c>
      <c r="E18" s="60">
        <v>89</v>
      </c>
      <c r="F18" s="64">
        <v>17</v>
      </c>
      <c r="G18" s="67">
        <v>12</v>
      </c>
      <c r="H18" s="60">
        <v>29</v>
      </c>
      <c r="I18" s="64">
        <v>13</v>
      </c>
      <c r="J18" s="67">
        <v>14</v>
      </c>
      <c r="K18" s="60">
        <v>27</v>
      </c>
      <c r="L18" s="64">
        <v>19</v>
      </c>
      <c r="M18" s="67">
        <v>14</v>
      </c>
      <c r="N18" s="60">
        <v>33</v>
      </c>
      <c r="O18" s="64"/>
      <c r="P18" s="67"/>
      <c r="Q18" s="69"/>
      <c r="R18" s="64"/>
      <c r="S18" s="67"/>
      <c r="T18" s="69"/>
      <c r="U18" s="64"/>
      <c r="V18" s="67"/>
      <c r="W18" s="69"/>
      <c r="X18" s="64">
        <v>26</v>
      </c>
      <c r="Y18" s="67">
        <v>71</v>
      </c>
      <c r="Z18" s="60">
        <v>97</v>
      </c>
      <c r="AA18" s="64">
        <v>11</v>
      </c>
      <c r="AB18" s="67">
        <v>17</v>
      </c>
      <c r="AC18" s="60">
        <v>28</v>
      </c>
      <c r="AD18" s="64">
        <v>5</v>
      </c>
      <c r="AE18" s="67">
        <v>10</v>
      </c>
      <c r="AF18" s="60">
        <v>15</v>
      </c>
      <c r="AG18" s="64">
        <v>10</v>
      </c>
      <c r="AH18" s="67">
        <v>34</v>
      </c>
      <c r="AI18" s="60">
        <v>44</v>
      </c>
      <c r="AJ18" s="64">
        <v>0</v>
      </c>
      <c r="AK18" s="67">
        <v>0</v>
      </c>
      <c r="AL18" s="60">
        <v>0</v>
      </c>
      <c r="AM18" s="64">
        <v>0</v>
      </c>
      <c r="AN18" s="67">
        <v>0</v>
      </c>
      <c r="AO18" s="60">
        <v>0</v>
      </c>
      <c r="AP18" s="64">
        <v>0</v>
      </c>
      <c r="AQ18" s="67">
        <v>0</v>
      </c>
      <c r="AR18" s="60">
        <v>0</v>
      </c>
      <c r="AS18" s="64">
        <v>0</v>
      </c>
      <c r="AT18" s="67">
        <v>0</v>
      </c>
      <c r="AU18" s="60">
        <v>0</v>
      </c>
      <c r="AV18" s="64">
        <v>6713</v>
      </c>
      <c r="AW18" s="67">
        <v>10058</v>
      </c>
      <c r="AX18" s="60">
        <v>16771</v>
      </c>
      <c r="AY18" s="64">
        <v>4242</v>
      </c>
      <c r="AZ18" s="67">
        <v>5714</v>
      </c>
      <c r="BA18" s="60">
        <v>9956</v>
      </c>
      <c r="BB18" s="64">
        <v>1852</v>
      </c>
      <c r="BC18" s="67">
        <v>2802</v>
      </c>
      <c r="BD18" s="60">
        <v>4654</v>
      </c>
      <c r="BE18" s="64">
        <v>619</v>
      </c>
      <c r="BF18" s="67">
        <v>1542</v>
      </c>
      <c r="BG18" s="60">
        <v>2161</v>
      </c>
      <c r="BH18" s="64">
        <v>401</v>
      </c>
      <c r="BI18" s="67">
        <v>391</v>
      </c>
      <c r="BJ18" s="60">
        <v>792</v>
      </c>
      <c r="BK18" s="64">
        <v>194</v>
      </c>
      <c r="BL18" s="67">
        <v>159</v>
      </c>
      <c r="BM18" s="60">
        <v>353</v>
      </c>
      <c r="BN18" s="64">
        <v>124</v>
      </c>
      <c r="BO18" s="67">
        <v>118</v>
      </c>
      <c r="BP18" s="60">
        <v>242</v>
      </c>
      <c r="BQ18" s="64">
        <v>83</v>
      </c>
      <c r="BR18" s="67">
        <v>114</v>
      </c>
      <c r="BS18" s="60">
        <v>197</v>
      </c>
      <c r="BT18" s="64">
        <v>0</v>
      </c>
      <c r="BU18" s="67">
        <v>0</v>
      </c>
      <c r="BV18" s="60">
        <v>0</v>
      </c>
      <c r="BW18" s="64">
        <v>0</v>
      </c>
      <c r="BX18" s="67">
        <v>0</v>
      </c>
      <c r="BY18" s="60">
        <v>0</v>
      </c>
      <c r="BZ18" s="64">
        <v>0</v>
      </c>
      <c r="CA18" s="67">
        <v>0</v>
      </c>
      <c r="CB18" s="60">
        <v>0</v>
      </c>
      <c r="CC18" s="64">
        <v>0</v>
      </c>
      <c r="CD18" s="67">
        <v>0</v>
      </c>
      <c r="CE18" s="60">
        <v>0</v>
      </c>
      <c r="CF18" s="64">
        <v>0</v>
      </c>
      <c r="CG18" s="67">
        <v>0</v>
      </c>
      <c r="CH18" s="60">
        <v>0</v>
      </c>
      <c r="CI18" s="64">
        <v>0</v>
      </c>
      <c r="CJ18" s="67">
        <v>0</v>
      </c>
      <c r="CK18" s="60">
        <v>0</v>
      </c>
      <c r="CL18" s="64">
        <v>0</v>
      </c>
      <c r="CM18" s="67">
        <v>0</v>
      </c>
      <c r="CN18" s="60">
        <v>0</v>
      </c>
      <c r="CO18" s="64">
        <v>0</v>
      </c>
      <c r="CP18" s="67">
        <v>0</v>
      </c>
      <c r="CQ18" s="60">
        <v>0</v>
      </c>
    </row>
    <row r="19" spans="2:95">
      <c r="B19" s="61" t="s">
        <v>44</v>
      </c>
      <c r="C19" s="64">
        <v>48</v>
      </c>
      <c r="D19" s="67">
        <v>56</v>
      </c>
      <c r="E19" s="60">
        <v>104</v>
      </c>
      <c r="F19" s="64">
        <v>20</v>
      </c>
      <c r="G19" s="67">
        <v>13</v>
      </c>
      <c r="H19" s="60">
        <v>33</v>
      </c>
      <c r="I19" s="64">
        <v>10</v>
      </c>
      <c r="J19" s="67">
        <v>10</v>
      </c>
      <c r="K19" s="60">
        <v>20</v>
      </c>
      <c r="L19" s="64">
        <v>18</v>
      </c>
      <c r="M19" s="67">
        <v>33</v>
      </c>
      <c r="N19" s="60">
        <v>51</v>
      </c>
      <c r="O19" s="64"/>
      <c r="P19" s="67"/>
      <c r="Q19" s="69"/>
      <c r="R19" s="64"/>
      <c r="S19" s="67"/>
      <c r="T19" s="69"/>
      <c r="U19" s="64"/>
      <c r="V19" s="67"/>
      <c r="W19" s="69"/>
      <c r="X19" s="64">
        <v>35</v>
      </c>
      <c r="Y19" s="67">
        <v>47</v>
      </c>
      <c r="Z19" s="60">
        <v>82</v>
      </c>
      <c r="AA19" s="64">
        <v>14</v>
      </c>
      <c r="AB19" s="67">
        <v>7</v>
      </c>
      <c r="AC19" s="60">
        <v>21</v>
      </c>
      <c r="AD19" s="64">
        <v>11</v>
      </c>
      <c r="AE19" s="67">
        <v>15</v>
      </c>
      <c r="AF19" s="60">
        <v>26</v>
      </c>
      <c r="AG19" s="64">
        <v>10</v>
      </c>
      <c r="AH19" s="67">
        <v>25</v>
      </c>
      <c r="AI19" s="60">
        <v>35</v>
      </c>
      <c r="AJ19" s="64">
        <v>35</v>
      </c>
      <c r="AK19" s="67">
        <v>47</v>
      </c>
      <c r="AL19" s="60">
        <v>82</v>
      </c>
      <c r="AM19" s="64">
        <v>14</v>
      </c>
      <c r="AN19" s="67">
        <v>7</v>
      </c>
      <c r="AO19" s="60">
        <v>21</v>
      </c>
      <c r="AP19" s="64">
        <v>11</v>
      </c>
      <c r="AQ19" s="67">
        <v>15</v>
      </c>
      <c r="AR19" s="60">
        <v>26</v>
      </c>
      <c r="AS19" s="64">
        <v>10</v>
      </c>
      <c r="AT19" s="67">
        <v>25</v>
      </c>
      <c r="AU19" s="60">
        <v>35</v>
      </c>
      <c r="AV19" s="64">
        <v>5592</v>
      </c>
      <c r="AW19" s="67">
        <v>8185</v>
      </c>
      <c r="AX19" s="60">
        <v>13777</v>
      </c>
      <c r="AY19" s="64">
        <v>3518</v>
      </c>
      <c r="AZ19" s="67">
        <v>4838</v>
      </c>
      <c r="BA19" s="60">
        <v>8356</v>
      </c>
      <c r="BB19" s="64">
        <v>1554</v>
      </c>
      <c r="BC19" s="67">
        <v>2282</v>
      </c>
      <c r="BD19" s="60">
        <v>3836</v>
      </c>
      <c r="BE19" s="64">
        <v>520</v>
      </c>
      <c r="BF19" s="67">
        <v>1065</v>
      </c>
      <c r="BG19" s="60">
        <v>1585</v>
      </c>
      <c r="BH19" s="64">
        <v>242</v>
      </c>
      <c r="BI19" s="67">
        <v>312</v>
      </c>
      <c r="BJ19" s="60">
        <v>554</v>
      </c>
      <c r="BK19" s="64">
        <v>130</v>
      </c>
      <c r="BL19" s="67">
        <v>115</v>
      </c>
      <c r="BM19" s="60">
        <v>245</v>
      </c>
      <c r="BN19" s="64">
        <v>78</v>
      </c>
      <c r="BO19" s="67">
        <v>109</v>
      </c>
      <c r="BP19" s="60">
        <v>187</v>
      </c>
      <c r="BQ19" s="64">
        <v>34</v>
      </c>
      <c r="BR19" s="67">
        <v>88</v>
      </c>
      <c r="BS19" s="60">
        <v>122</v>
      </c>
      <c r="BT19" s="64">
        <v>0</v>
      </c>
      <c r="BU19" s="67">
        <v>0</v>
      </c>
      <c r="BV19" s="60">
        <v>0</v>
      </c>
      <c r="BW19" s="64">
        <v>0</v>
      </c>
      <c r="BX19" s="67">
        <v>0</v>
      </c>
      <c r="BY19" s="60">
        <v>0</v>
      </c>
      <c r="BZ19" s="64">
        <v>0</v>
      </c>
      <c r="CA19" s="67">
        <v>0</v>
      </c>
      <c r="CB19" s="60">
        <v>0</v>
      </c>
      <c r="CC19" s="64">
        <v>0</v>
      </c>
      <c r="CD19" s="67">
        <v>0</v>
      </c>
      <c r="CE19" s="60">
        <v>0</v>
      </c>
      <c r="CF19" s="64">
        <v>0</v>
      </c>
      <c r="CG19" s="67">
        <v>0</v>
      </c>
      <c r="CH19" s="60">
        <v>0</v>
      </c>
      <c r="CI19" s="64">
        <v>0</v>
      </c>
      <c r="CJ19" s="67">
        <v>0</v>
      </c>
      <c r="CK19" s="60">
        <v>0</v>
      </c>
      <c r="CL19" s="64">
        <v>0</v>
      </c>
      <c r="CM19" s="67">
        <v>0</v>
      </c>
      <c r="CN19" s="60">
        <v>0</v>
      </c>
      <c r="CO19" s="64">
        <v>0</v>
      </c>
      <c r="CP19" s="67">
        <v>0</v>
      </c>
      <c r="CQ19" s="60">
        <v>0</v>
      </c>
    </row>
    <row r="20" spans="2:95">
      <c r="B20" s="61" t="s">
        <v>45</v>
      </c>
      <c r="C20" s="64">
        <v>22</v>
      </c>
      <c r="D20" s="67">
        <v>20</v>
      </c>
      <c r="E20" s="60">
        <v>42</v>
      </c>
      <c r="F20" s="64">
        <v>7</v>
      </c>
      <c r="G20" s="67">
        <v>3</v>
      </c>
      <c r="H20" s="60">
        <v>10</v>
      </c>
      <c r="I20" s="64">
        <v>7</v>
      </c>
      <c r="J20" s="67">
        <v>7</v>
      </c>
      <c r="K20" s="60">
        <v>14</v>
      </c>
      <c r="L20" s="64">
        <v>8</v>
      </c>
      <c r="M20" s="67">
        <v>10</v>
      </c>
      <c r="N20" s="60">
        <v>18</v>
      </c>
      <c r="O20" s="64">
        <v>0</v>
      </c>
      <c r="P20" s="67">
        <v>0</v>
      </c>
      <c r="Q20" s="69"/>
      <c r="R20" s="64">
        <v>0</v>
      </c>
      <c r="S20" s="67">
        <v>0</v>
      </c>
      <c r="T20" s="69"/>
      <c r="U20" s="64">
        <v>0</v>
      </c>
      <c r="V20" s="67">
        <v>0</v>
      </c>
      <c r="W20" s="69"/>
      <c r="X20" s="64">
        <v>46</v>
      </c>
      <c r="Y20" s="67">
        <v>99</v>
      </c>
      <c r="Z20" s="60">
        <v>145</v>
      </c>
      <c r="AA20" s="64">
        <v>17</v>
      </c>
      <c r="AB20" s="67">
        <v>26</v>
      </c>
      <c r="AC20" s="60">
        <v>43</v>
      </c>
      <c r="AD20" s="64">
        <v>16</v>
      </c>
      <c r="AE20" s="67">
        <v>41</v>
      </c>
      <c r="AF20" s="60">
        <v>57</v>
      </c>
      <c r="AG20" s="64">
        <v>13</v>
      </c>
      <c r="AH20" s="67">
        <v>32</v>
      </c>
      <c r="AI20" s="60">
        <v>45</v>
      </c>
      <c r="AJ20" s="64">
        <v>0</v>
      </c>
      <c r="AK20" s="67">
        <v>0</v>
      </c>
      <c r="AL20" s="60">
        <v>0</v>
      </c>
      <c r="AM20" s="64">
        <v>0</v>
      </c>
      <c r="AN20" s="67">
        <v>0</v>
      </c>
      <c r="AO20" s="60">
        <v>0</v>
      </c>
      <c r="AP20" s="64">
        <v>0</v>
      </c>
      <c r="AQ20" s="67">
        <v>0</v>
      </c>
      <c r="AR20" s="60">
        <v>0</v>
      </c>
      <c r="AS20" s="64">
        <v>0</v>
      </c>
      <c r="AT20" s="67">
        <v>0</v>
      </c>
      <c r="AU20" s="60">
        <v>0</v>
      </c>
      <c r="AV20" s="64">
        <v>5705</v>
      </c>
      <c r="AW20" s="67">
        <v>8753</v>
      </c>
      <c r="AX20" s="60">
        <v>14458</v>
      </c>
      <c r="AY20" s="64">
        <v>3635</v>
      </c>
      <c r="AZ20" s="67">
        <v>5004</v>
      </c>
      <c r="BA20" s="60">
        <v>8639</v>
      </c>
      <c r="BB20" s="64">
        <v>1527</v>
      </c>
      <c r="BC20" s="67">
        <v>2478</v>
      </c>
      <c r="BD20" s="60">
        <v>4005</v>
      </c>
      <c r="BE20" s="64">
        <v>543</v>
      </c>
      <c r="BF20" s="67">
        <v>1271</v>
      </c>
      <c r="BG20" s="60">
        <v>1814</v>
      </c>
      <c r="BH20" s="64">
        <v>98</v>
      </c>
      <c r="BI20" s="67">
        <v>140</v>
      </c>
      <c r="BJ20" s="60">
        <v>238</v>
      </c>
      <c r="BK20" s="64">
        <v>53</v>
      </c>
      <c r="BL20" s="67">
        <v>51</v>
      </c>
      <c r="BM20" s="60">
        <v>104</v>
      </c>
      <c r="BN20" s="64">
        <v>30</v>
      </c>
      <c r="BO20" s="67">
        <v>43</v>
      </c>
      <c r="BP20" s="60">
        <v>73</v>
      </c>
      <c r="BQ20" s="64">
        <v>15</v>
      </c>
      <c r="BR20" s="67">
        <v>46</v>
      </c>
      <c r="BS20" s="60">
        <v>61</v>
      </c>
      <c r="BT20" s="64">
        <v>0</v>
      </c>
      <c r="BU20" s="67">
        <v>0</v>
      </c>
      <c r="BV20" s="60">
        <v>0</v>
      </c>
      <c r="BW20" s="64">
        <v>0</v>
      </c>
      <c r="BX20" s="67">
        <v>0</v>
      </c>
      <c r="BY20" s="60">
        <v>0</v>
      </c>
      <c r="BZ20" s="64">
        <v>0</v>
      </c>
      <c r="CA20" s="67">
        <v>0</v>
      </c>
      <c r="CB20" s="60">
        <v>0</v>
      </c>
      <c r="CC20" s="64">
        <v>0</v>
      </c>
      <c r="CD20" s="67">
        <v>0</v>
      </c>
      <c r="CE20" s="60">
        <v>0</v>
      </c>
      <c r="CF20" s="64">
        <v>0</v>
      </c>
      <c r="CG20" s="67">
        <v>0</v>
      </c>
      <c r="CH20" s="60">
        <v>0</v>
      </c>
      <c r="CI20" s="64">
        <v>0</v>
      </c>
      <c r="CJ20" s="67">
        <v>0</v>
      </c>
      <c r="CK20" s="60">
        <v>0</v>
      </c>
      <c r="CL20" s="64">
        <v>0</v>
      </c>
      <c r="CM20" s="67">
        <v>0</v>
      </c>
      <c r="CN20" s="60">
        <v>0</v>
      </c>
      <c r="CO20" s="64">
        <v>0</v>
      </c>
      <c r="CP20" s="67">
        <v>0</v>
      </c>
      <c r="CQ20" s="60">
        <v>0</v>
      </c>
    </row>
    <row r="21" spans="2:95">
      <c r="B21" s="61" t="s">
        <v>46</v>
      </c>
      <c r="C21" s="64">
        <v>150</v>
      </c>
      <c r="D21" s="67">
        <v>149</v>
      </c>
      <c r="E21" s="60">
        <v>299</v>
      </c>
      <c r="F21" s="64">
        <v>38</v>
      </c>
      <c r="G21" s="67">
        <v>24</v>
      </c>
      <c r="H21" s="60">
        <v>62</v>
      </c>
      <c r="I21" s="64">
        <v>51</v>
      </c>
      <c r="J21" s="67">
        <v>31</v>
      </c>
      <c r="K21" s="60">
        <v>82</v>
      </c>
      <c r="L21" s="64">
        <v>61</v>
      </c>
      <c r="M21" s="67">
        <v>94</v>
      </c>
      <c r="N21" s="60">
        <v>155</v>
      </c>
      <c r="O21" s="64">
        <v>0</v>
      </c>
      <c r="P21" s="67">
        <v>0</v>
      </c>
      <c r="Q21" s="69"/>
      <c r="R21" s="64">
        <v>0</v>
      </c>
      <c r="S21" s="67">
        <v>0</v>
      </c>
      <c r="T21" s="69"/>
      <c r="U21" s="64">
        <v>0</v>
      </c>
      <c r="V21" s="67">
        <v>0</v>
      </c>
      <c r="W21" s="69"/>
      <c r="X21" s="64">
        <v>25</v>
      </c>
      <c r="Y21" s="67">
        <v>23</v>
      </c>
      <c r="Z21" s="60">
        <v>48</v>
      </c>
      <c r="AA21" s="64">
        <v>8</v>
      </c>
      <c r="AB21" s="67">
        <v>6</v>
      </c>
      <c r="AC21" s="60">
        <v>14</v>
      </c>
      <c r="AD21" s="64">
        <v>8</v>
      </c>
      <c r="AE21" s="67">
        <v>8</v>
      </c>
      <c r="AF21" s="60">
        <v>16</v>
      </c>
      <c r="AG21" s="64">
        <v>9</v>
      </c>
      <c r="AH21" s="67">
        <v>9</v>
      </c>
      <c r="AI21" s="60">
        <v>18</v>
      </c>
      <c r="AJ21" s="64">
        <v>25</v>
      </c>
      <c r="AK21" s="67">
        <v>23</v>
      </c>
      <c r="AL21" s="60">
        <v>48</v>
      </c>
      <c r="AM21" s="64">
        <v>8</v>
      </c>
      <c r="AN21" s="67">
        <v>6</v>
      </c>
      <c r="AO21" s="60">
        <v>14</v>
      </c>
      <c r="AP21" s="64">
        <v>8</v>
      </c>
      <c r="AQ21" s="67">
        <v>8</v>
      </c>
      <c r="AR21" s="60">
        <v>16</v>
      </c>
      <c r="AS21" s="64">
        <v>9</v>
      </c>
      <c r="AT21" s="67">
        <v>9</v>
      </c>
      <c r="AU21" s="60">
        <v>18</v>
      </c>
      <c r="AV21" s="64">
        <v>4150</v>
      </c>
      <c r="AW21" s="67">
        <v>6737</v>
      </c>
      <c r="AX21" s="60">
        <v>10887</v>
      </c>
      <c r="AY21" s="64">
        <v>2386</v>
      </c>
      <c r="AZ21" s="67">
        <v>3568</v>
      </c>
      <c r="BA21" s="60">
        <v>5954</v>
      </c>
      <c r="BB21" s="64">
        <v>1249</v>
      </c>
      <c r="BC21" s="67">
        <v>2014</v>
      </c>
      <c r="BD21" s="60">
        <v>3263</v>
      </c>
      <c r="BE21" s="64">
        <v>515</v>
      </c>
      <c r="BF21" s="67">
        <v>1155</v>
      </c>
      <c r="BG21" s="60">
        <v>1670</v>
      </c>
      <c r="BH21" s="64">
        <v>138</v>
      </c>
      <c r="BI21" s="67">
        <v>194</v>
      </c>
      <c r="BJ21" s="60">
        <v>332</v>
      </c>
      <c r="BK21" s="64">
        <v>70</v>
      </c>
      <c r="BL21" s="67">
        <v>65</v>
      </c>
      <c r="BM21" s="60">
        <v>135</v>
      </c>
      <c r="BN21" s="64">
        <v>39</v>
      </c>
      <c r="BO21" s="67">
        <v>61</v>
      </c>
      <c r="BP21" s="60">
        <v>100</v>
      </c>
      <c r="BQ21" s="64">
        <v>29</v>
      </c>
      <c r="BR21" s="67">
        <v>68</v>
      </c>
      <c r="BS21" s="60">
        <v>97</v>
      </c>
      <c r="BT21" s="64">
        <v>0</v>
      </c>
      <c r="BU21" s="67">
        <v>0</v>
      </c>
      <c r="BV21" s="60">
        <v>0</v>
      </c>
      <c r="BW21" s="64">
        <v>0</v>
      </c>
      <c r="BX21" s="67">
        <v>0</v>
      </c>
      <c r="BY21" s="60">
        <v>0</v>
      </c>
      <c r="BZ21" s="64">
        <v>0</v>
      </c>
      <c r="CA21" s="67">
        <v>0</v>
      </c>
      <c r="CB21" s="60">
        <v>0</v>
      </c>
      <c r="CC21" s="64">
        <v>0</v>
      </c>
      <c r="CD21" s="67">
        <v>0</v>
      </c>
      <c r="CE21" s="60">
        <v>0</v>
      </c>
      <c r="CF21" s="64">
        <v>0</v>
      </c>
      <c r="CG21" s="67">
        <v>0</v>
      </c>
      <c r="CH21" s="60">
        <v>0</v>
      </c>
      <c r="CI21" s="64">
        <v>0</v>
      </c>
      <c r="CJ21" s="67">
        <v>0</v>
      </c>
      <c r="CK21" s="60">
        <v>0</v>
      </c>
      <c r="CL21" s="64">
        <v>0</v>
      </c>
      <c r="CM21" s="67">
        <v>0</v>
      </c>
      <c r="CN21" s="60">
        <v>0</v>
      </c>
      <c r="CO21" s="64">
        <v>0</v>
      </c>
      <c r="CP21" s="67">
        <v>0</v>
      </c>
      <c r="CQ21" s="60">
        <v>0</v>
      </c>
    </row>
    <row r="22" spans="2:95">
      <c r="B22" s="61" t="s">
        <v>47</v>
      </c>
      <c r="C22" s="64">
        <v>232</v>
      </c>
      <c r="D22" s="67">
        <v>242</v>
      </c>
      <c r="E22" s="60">
        <v>474</v>
      </c>
      <c r="F22" s="64">
        <v>71</v>
      </c>
      <c r="G22" s="67">
        <v>53</v>
      </c>
      <c r="H22" s="60">
        <v>124</v>
      </c>
      <c r="I22" s="64">
        <v>76</v>
      </c>
      <c r="J22" s="67">
        <v>62</v>
      </c>
      <c r="K22" s="60">
        <v>138</v>
      </c>
      <c r="L22" s="64">
        <v>85</v>
      </c>
      <c r="M22" s="67">
        <v>127</v>
      </c>
      <c r="N22" s="60">
        <v>212</v>
      </c>
      <c r="O22" s="64" t="s">
        <v>97</v>
      </c>
      <c r="P22" s="67" t="s">
        <v>97</v>
      </c>
      <c r="Q22" s="69"/>
      <c r="R22" s="64" t="s">
        <v>97</v>
      </c>
      <c r="S22" s="67" t="s">
        <v>97</v>
      </c>
      <c r="T22" s="69"/>
      <c r="U22" s="64" t="s">
        <v>97</v>
      </c>
      <c r="V22" s="67" t="s">
        <v>97</v>
      </c>
      <c r="W22" s="69"/>
      <c r="X22" s="64">
        <v>27</v>
      </c>
      <c r="Y22" s="67">
        <v>18</v>
      </c>
      <c r="Z22" s="60">
        <v>45</v>
      </c>
      <c r="AA22" s="64">
        <v>3</v>
      </c>
      <c r="AB22" s="67">
        <v>2</v>
      </c>
      <c r="AC22" s="60">
        <v>5</v>
      </c>
      <c r="AD22" s="64">
        <v>9</v>
      </c>
      <c r="AE22" s="67">
        <v>4</v>
      </c>
      <c r="AF22" s="60">
        <v>13</v>
      </c>
      <c r="AG22" s="64">
        <v>15</v>
      </c>
      <c r="AH22" s="67">
        <v>12</v>
      </c>
      <c r="AI22" s="60">
        <v>27</v>
      </c>
      <c r="AJ22" s="64">
        <v>27</v>
      </c>
      <c r="AK22" s="67">
        <v>18</v>
      </c>
      <c r="AL22" s="60">
        <v>45</v>
      </c>
      <c r="AM22" s="64">
        <v>3</v>
      </c>
      <c r="AN22" s="67">
        <v>2</v>
      </c>
      <c r="AO22" s="60">
        <v>5</v>
      </c>
      <c r="AP22" s="64">
        <v>9</v>
      </c>
      <c r="AQ22" s="67">
        <v>4</v>
      </c>
      <c r="AR22" s="60">
        <v>13</v>
      </c>
      <c r="AS22" s="64">
        <v>15</v>
      </c>
      <c r="AT22" s="67">
        <v>12</v>
      </c>
      <c r="AU22" s="60">
        <v>27</v>
      </c>
      <c r="AV22" s="64">
        <v>6008</v>
      </c>
      <c r="AW22" s="67">
        <v>9711</v>
      </c>
      <c r="AX22" s="60">
        <v>15719</v>
      </c>
      <c r="AY22" s="64">
        <v>3810</v>
      </c>
      <c r="AZ22" s="67">
        <v>5625</v>
      </c>
      <c r="BA22" s="60">
        <v>9435</v>
      </c>
      <c r="BB22" s="64">
        <v>1611</v>
      </c>
      <c r="BC22" s="67">
        <v>2649</v>
      </c>
      <c r="BD22" s="60">
        <v>4260</v>
      </c>
      <c r="BE22" s="64">
        <v>587</v>
      </c>
      <c r="BF22" s="67">
        <v>1437</v>
      </c>
      <c r="BG22" s="60">
        <v>2024</v>
      </c>
      <c r="BH22" s="64">
        <v>263</v>
      </c>
      <c r="BI22" s="67">
        <v>338</v>
      </c>
      <c r="BJ22" s="60">
        <v>601</v>
      </c>
      <c r="BK22" s="64">
        <v>126</v>
      </c>
      <c r="BL22" s="67">
        <v>105</v>
      </c>
      <c r="BM22" s="60">
        <v>231</v>
      </c>
      <c r="BN22" s="64">
        <v>94</v>
      </c>
      <c r="BO22" s="67">
        <v>112</v>
      </c>
      <c r="BP22" s="60">
        <v>206</v>
      </c>
      <c r="BQ22" s="64">
        <v>43</v>
      </c>
      <c r="BR22" s="67">
        <v>121</v>
      </c>
      <c r="BS22" s="60">
        <v>164</v>
      </c>
      <c r="BT22" s="64">
        <v>0</v>
      </c>
      <c r="BU22" s="67">
        <v>0</v>
      </c>
      <c r="BV22" s="60">
        <v>0</v>
      </c>
      <c r="BW22" s="64">
        <v>0</v>
      </c>
      <c r="BX22" s="67">
        <v>0</v>
      </c>
      <c r="BY22" s="60">
        <v>0</v>
      </c>
      <c r="BZ22" s="64">
        <v>0</v>
      </c>
      <c r="CA22" s="67">
        <v>0</v>
      </c>
      <c r="CB22" s="60">
        <v>0</v>
      </c>
      <c r="CC22" s="64">
        <v>0</v>
      </c>
      <c r="CD22" s="67">
        <v>0</v>
      </c>
      <c r="CE22" s="60">
        <v>0</v>
      </c>
      <c r="CF22" s="64">
        <v>0</v>
      </c>
      <c r="CG22" s="67">
        <v>0</v>
      </c>
      <c r="CH22" s="60">
        <v>0</v>
      </c>
      <c r="CI22" s="64">
        <v>0</v>
      </c>
      <c r="CJ22" s="67">
        <v>0</v>
      </c>
      <c r="CK22" s="60">
        <v>0</v>
      </c>
      <c r="CL22" s="64">
        <v>0</v>
      </c>
      <c r="CM22" s="67">
        <v>0</v>
      </c>
      <c r="CN22" s="60">
        <v>0</v>
      </c>
      <c r="CO22" s="64">
        <v>0</v>
      </c>
      <c r="CP22" s="67">
        <v>0</v>
      </c>
      <c r="CQ22" s="60">
        <v>0</v>
      </c>
    </row>
    <row r="23" spans="2:95">
      <c r="B23" s="61" t="s">
        <v>49</v>
      </c>
      <c r="C23" s="64">
        <v>736</v>
      </c>
      <c r="D23" s="67">
        <v>543</v>
      </c>
      <c r="E23" s="60">
        <v>1279</v>
      </c>
      <c r="F23" s="64">
        <v>311</v>
      </c>
      <c r="G23" s="67">
        <v>218</v>
      </c>
      <c r="H23" s="60">
        <v>529</v>
      </c>
      <c r="I23" s="64">
        <v>243</v>
      </c>
      <c r="J23" s="67">
        <v>197</v>
      </c>
      <c r="K23" s="60">
        <v>440</v>
      </c>
      <c r="L23" s="64">
        <v>182</v>
      </c>
      <c r="M23" s="67">
        <v>128</v>
      </c>
      <c r="N23" s="60">
        <v>310</v>
      </c>
      <c r="O23" s="64">
        <v>0</v>
      </c>
      <c r="P23" s="67">
        <v>0</v>
      </c>
      <c r="Q23" s="69"/>
      <c r="R23" s="64">
        <v>0</v>
      </c>
      <c r="S23" s="67">
        <v>0</v>
      </c>
      <c r="T23" s="69"/>
      <c r="U23" s="64">
        <v>0</v>
      </c>
      <c r="V23" s="67">
        <v>0</v>
      </c>
      <c r="W23" s="69"/>
      <c r="X23" s="64">
        <v>6</v>
      </c>
      <c r="Y23" s="67">
        <v>23</v>
      </c>
      <c r="Z23" s="60">
        <v>29</v>
      </c>
      <c r="AA23" s="64">
        <v>3</v>
      </c>
      <c r="AB23" s="67">
        <v>5</v>
      </c>
      <c r="AC23" s="60">
        <v>8</v>
      </c>
      <c r="AD23" s="64">
        <v>1</v>
      </c>
      <c r="AE23" s="67">
        <v>6</v>
      </c>
      <c r="AF23" s="60">
        <v>7</v>
      </c>
      <c r="AG23" s="64">
        <v>2</v>
      </c>
      <c r="AH23" s="67">
        <v>12</v>
      </c>
      <c r="AI23" s="60">
        <v>14</v>
      </c>
      <c r="AJ23" s="64">
        <v>5</v>
      </c>
      <c r="AK23" s="67">
        <v>19</v>
      </c>
      <c r="AL23" s="60">
        <v>24</v>
      </c>
      <c r="AM23" s="64">
        <v>2</v>
      </c>
      <c r="AN23" s="67">
        <v>3</v>
      </c>
      <c r="AO23" s="60">
        <v>5</v>
      </c>
      <c r="AP23" s="64">
        <v>1</v>
      </c>
      <c r="AQ23" s="67">
        <v>4</v>
      </c>
      <c r="AR23" s="60">
        <v>5</v>
      </c>
      <c r="AS23" s="64">
        <v>2</v>
      </c>
      <c r="AT23" s="67">
        <v>12</v>
      </c>
      <c r="AU23" s="60">
        <v>14</v>
      </c>
      <c r="AV23" s="64">
        <v>6872</v>
      </c>
      <c r="AW23" s="67">
        <v>10997</v>
      </c>
      <c r="AX23" s="60">
        <v>17869</v>
      </c>
      <c r="AY23" s="64">
        <v>4137</v>
      </c>
      <c r="AZ23" s="67">
        <v>6308</v>
      </c>
      <c r="BA23" s="60">
        <v>10445</v>
      </c>
      <c r="BB23" s="64">
        <v>2074</v>
      </c>
      <c r="BC23" s="67">
        <v>3220</v>
      </c>
      <c r="BD23" s="60">
        <v>5294</v>
      </c>
      <c r="BE23" s="64">
        <v>661</v>
      </c>
      <c r="BF23" s="67">
        <v>1469</v>
      </c>
      <c r="BG23" s="60">
        <v>2130</v>
      </c>
      <c r="BH23" s="64">
        <v>323</v>
      </c>
      <c r="BI23" s="67">
        <v>399</v>
      </c>
      <c r="BJ23" s="60">
        <v>722</v>
      </c>
      <c r="BK23" s="64">
        <v>143</v>
      </c>
      <c r="BL23" s="67">
        <v>141</v>
      </c>
      <c r="BM23" s="60">
        <v>284</v>
      </c>
      <c r="BN23" s="64">
        <v>107</v>
      </c>
      <c r="BO23" s="67">
        <v>135</v>
      </c>
      <c r="BP23" s="60">
        <v>242</v>
      </c>
      <c r="BQ23" s="64">
        <v>73</v>
      </c>
      <c r="BR23" s="67">
        <v>123</v>
      </c>
      <c r="BS23" s="60">
        <v>196</v>
      </c>
      <c r="BT23" s="64">
        <v>0</v>
      </c>
      <c r="BU23" s="67">
        <v>0</v>
      </c>
      <c r="BV23" s="60">
        <v>0</v>
      </c>
      <c r="BW23" s="64">
        <v>0</v>
      </c>
      <c r="BX23" s="67">
        <v>0</v>
      </c>
      <c r="BY23" s="60">
        <v>0</v>
      </c>
      <c r="BZ23" s="64">
        <v>0</v>
      </c>
      <c r="CA23" s="67">
        <v>0</v>
      </c>
      <c r="CB23" s="60">
        <v>0</v>
      </c>
      <c r="CC23" s="64">
        <v>0</v>
      </c>
      <c r="CD23" s="67">
        <v>0</v>
      </c>
      <c r="CE23" s="60">
        <v>0</v>
      </c>
      <c r="CF23" s="64">
        <v>0</v>
      </c>
      <c r="CG23" s="67">
        <v>0</v>
      </c>
      <c r="CH23" s="60">
        <v>0</v>
      </c>
      <c r="CI23" s="64">
        <v>0</v>
      </c>
      <c r="CJ23" s="67">
        <v>0</v>
      </c>
      <c r="CK23" s="60">
        <v>0</v>
      </c>
      <c r="CL23" s="64">
        <v>0</v>
      </c>
      <c r="CM23" s="67">
        <v>0</v>
      </c>
      <c r="CN23" s="60">
        <v>0</v>
      </c>
      <c r="CO23" s="64">
        <v>0</v>
      </c>
      <c r="CP23" s="67">
        <v>0</v>
      </c>
      <c r="CQ23" s="60">
        <v>0</v>
      </c>
    </row>
    <row r="24" spans="2:95">
      <c r="B24" s="61" t="s">
        <v>48</v>
      </c>
      <c r="C24" s="64">
        <v>134</v>
      </c>
      <c r="D24" s="67">
        <v>184</v>
      </c>
      <c r="E24" s="60">
        <v>318</v>
      </c>
      <c r="F24" s="64">
        <v>43</v>
      </c>
      <c r="G24" s="67">
        <v>44</v>
      </c>
      <c r="H24" s="60">
        <v>87</v>
      </c>
      <c r="I24" s="64">
        <v>43</v>
      </c>
      <c r="J24" s="67">
        <v>51</v>
      </c>
      <c r="K24" s="60">
        <v>94</v>
      </c>
      <c r="L24" s="64">
        <v>48</v>
      </c>
      <c r="M24" s="67">
        <v>89</v>
      </c>
      <c r="N24" s="60">
        <v>137</v>
      </c>
      <c r="O24" s="64"/>
      <c r="P24" s="67"/>
      <c r="Q24" s="69"/>
      <c r="R24" s="64"/>
      <c r="S24" s="67"/>
      <c r="T24" s="69"/>
      <c r="U24" s="64"/>
      <c r="V24" s="67"/>
      <c r="W24" s="69"/>
      <c r="X24" s="64">
        <v>22</v>
      </c>
      <c r="Y24" s="67">
        <v>28</v>
      </c>
      <c r="Z24" s="60">
        <v>50</v>
      </c>
      <c r="AA24" s="64">
        <v>5</v>
      </c>
      <c r="AB24" s="67">
        <v>7</v>
      </c>
      <c r="AC24" s="60">
        <v>12</v>
      </c>
      <c r="AD24" s="64">
        <v>10</v>
      </c>
      <c r="AE24" s="67">
        <v>12</v>
      </c>
      <c r="AF24" s="60">
        <v>22</v>
      </c>
      <c r="AG24" s="64">
        <v>7</v>
      </c>
      <c r="AH24" s="67">
        <v>9</v>
      </c>
      <c r="AI24" s="60">
        <v>16</v>
      </c>
      <c r="AJ24" s="64">
        <v>22</v>
      </c>
      <c r="AK24" s="67">
        <v>28</v>
      </c>
      <c r="AL24" s="60">
        <v>50</v>
      </c>
      <c r="AM24" s="64">
        <v>5</v>
      </c>
      <c r="AN24" s="67">
        <v>7</v>
      </c>
      <c r="AO24" s="60">
        <v>12</v>
      </c>
      <c r="AP24" s="64">
        <v>10</v>
      </c>
      <c r="AQ24" s="67">
        <v>12</v>
      </c>
      <c r="AR24" s="60">
        <v>22</v>
      </c>
      <c r="AS24" s="64">
        <v>7</v>
      </c>
      <c r="AT24" s="67">
        <v>9</v>
      </c>
      <c r="AU24" s="60">
        <v>16</v>
      </c>
      <c r="AV24" s="64">
        <v>5295</v>
      </c>
      <c r="AW24" s="67">
        <v>8446</v>
      </c>
      <c r="AX24" s="60">
        <v>13741</v>
      </c>
      <c r="AY24" s="64">
        <v>3331</v>
      </c>
      <c r="AZ24" s="67">
        <v>4908</v>
      </c>
      <c r="BA24" s="60">
        <v>8239</v>
      </c>
      <c r="BB24" s="64">
        <v>1437</v>
      </c>
      <c r="BC24" s="67">
        <v>2316</v>
      </c>
      <c r="BD24" s="60">
        <v>3753</v>
      </c>
      <c r="BE24" s="64">
        <v>527</v>
      </c>
      <c r="BF24" s="67">
        <v>1222</v>
      </c>
      <c r="BG24" s="60">
        <v>1749</v>
      </c>
      <c r="BH24" s="64">
        <v>232</v>
      </c>
      <c r="BI24" s="67">
        <v>299</v>
      </c>
      <c r="BJ24" s="60">
        <v>531</v>
      </c>
      <c r="BK24" s="64">
        <v>102</v>
      </c>
      <c r="BL24" s="67">
        <v>109</v>
      </c>
      <c r="BM24" s="60">
        <v>211</v>
      </c>
      <c r="BN24" s="64">
        <v>83</v>
      </c>
      <c r="BO24" s="67">
        <v>103</v>
      </c>
      <c r="BP24" s="60">
        <v>186</v>
      </c>
      <c r="BQ24" s="64">
        <v>47</v>
      </c>
      <c r="BR24" s="67">
        <v>87</v>
      </c>
      <c r="BS24" s="60">
        <v>134</v>
      </c>
      <c r="BT24" s="64">
        <v>0</v>
      </c>
      <c r="BU24" s="67">
        <v>0</v>
      </c>
      <c r="BV24" s="60">
        <v>0</v>
      </c>
      <c r="BW24" s="64">
        <v>0</v>
      </c>
      <c r="BX24" s="67">
        <v>0</v>
      </c>
      <c r="BY24" s="60">
        <v>0</v>
      </c>
      <c r="BZ24" s="64">
        <v>0</v>
      </c>
      <c r="CA24" s="67">
        <v>0</v>
      </c>
      <c r="CB24" s="60">
        <v>0</v>
      </c>
      <c r="CC24" s="64">
        <v>0</v>
      </c>
      <c r="CD24" s="67">
        <v>0</v>
      </c>
      <c r="CE24" s="60">
        <v>0</v>
      </c>
      <c r="CF24" s="64">
        <v>0</v>
      </c>
      <c r="CG24" s="67">
        <v>0</v>
      </c>
      <c r="CH24" s="60">
        <v>0</v>
      </c>
      <c r="CI24" s="64">
        <v>0</v>
      </c>
      <c r="CJ24" s="67">
        <v>0</v>
      </c>
      <c r="CK24" s="60">
        <v>0</v>
      </c>
      <c r="CL24" s="64">
        <v>0</v>
      </c>
      <c r="CM24" s="67">
        <v>0</v>
      </c>
      <c r="CN24" s="60">
        <v>0</v>
      </c>
      <c r="CO24" s="64">
        <v>0</v>
      </c>
      <c r="CP24" s="67">
        <v>0</v>
      </c>
      <c r="CQ24" s="60">
        <v>0</v>
      </c>
    </row>
    <row r="25" spans="2:95">
      <c r="B25" s="61" t="s">
        <v>73</v>
      </c>
      <c r="C25" s="64">
        <v>206</v>
      </c>
      <c r="D25" s="67">
        <v>250</v>
      </c>
      <c r="E25" s="60">
        <v>456</v>
      </c>
      <c r="F25" s="64">
        <v>71</v>
      </c>
      <c r="G25" s="67">
        <v>39</v>
      </c>
      <c r="H25" s="60">
        <v>110</v>
      </c>
      <c r="I25" s="64">
        <v>44</v>
      </c>
      <c r="J25" s="67">
        <v>59</v>
      </c>
      <c r="K25" s="60">
        <v>103</v>
      </c>
      <c r="L25" s="64">
        <v>91</v>
      </c>
      <c r="M25" s="67">
        <v>152</v>
      </c>
      <c r="N25" s="60">
        <v>243</v>
      </c>
      <c r="O25" s="64"/>
      <c r="P25" s="67"/>
      <c r="Q25" s="69"/>
      <c r="R25" s="64"/>
      <c r="S25" s="67"/>
      <c r="T25" s="69"/>
      <c r="U25" s="64"/>
      <c r="V25" s="67"/>
      <c r="W25" s="69"/>
      <c r="X25" s="64">
        <v>66</v>
      </c>
      <c r="Y25" s="67">
        <v>125</v>
      </c>
      <c r="Z25" s="60">
        <v>191</v>
      </c>
      <c r="AA25" s="64">
        <v>24</v>
      </c>
      <c r="AB25" s="67">
        <v>25</v>
      </c>
      <c r="AC25" s="60">
        <v>49</v>
      </c>
      <c r="AD25" s="64">
        <v>20</v>
      </c>
      <c r="AE25" s="67">
        <v>25</v>
      </c>
      <c r="AF25" s="60">
        <v>45</v>
      </c>
      <c r="AG25" s="64">
        <v>22</v>
      </c>
      <c r="AH25" s="67">
        <v>75</v>
      </c>
      <c r="AI25" s="60">
        <v>97</v>
      </c>
      <c r="AJ25" s="64">
        <v>66</v>
      </c>
      <c r="AK25" s="67">
        <v>125</v>
      </c>
      <c r="AL25" s="60">
        <v>191</v>
      </c>
      <c r="AM25" s="64">
        <v>24</v>
      </c>
      <c r="AN25" s="67">
        <v>25</v>
      </c>
      <c r="AO25" s="60">
        <v>49</v>
      </c>
      <c r="AP25" s="64">
        <v>20</v>
      </c>
      <c r="AQ25" s="67">
        <v>25</v>
      </c>
      <c r="AR25" s="60">
        <v>45</v>
      </c>
      <c r="AS25" s="64">
        <v>22</v>
      </c>
      <c r="AT25" s="67">
        <v>75</v>
      </c>
      <c r="AU25" s="60">
        <v>97</v>
      </c>
      <c r="AV25" s="64">
        <v>8124</v>
      </c>
      <c r="AW25" s="67">
        <v>14172</v>
      </c>
      <c r="AX25" s="60">
        <v>22296</v>
      </c>
      <c r="AY25" s="64">
        <v>4348</v>
      </c>
      <c r="AZ25" s="67">
        <v>6742</v>
      </c>
      <c r="BA25" s="60">
        <v>11090</v>
      </c>
      <c r="BB25" s="64">
        <v>2661</v>
      </c>
      <c r="BC25" s="67">
        <v>4563</v>
      </c>
      <c r="BD25" s="60">
        <v>7224</v>
      </c>
      <c r="BE25" s="64">
        <v>1115</v>
      </c>
      <c r="BF25" s="67">
        <v>2867</v>
      </c>
      <c r="BG25" s="60">
        <v>3982</v>
      </c>
      <c r="BH25" s="64">
        <v>393</v>
      </c>
      <c r="BI25" s="67">
        <v>541</v>
      </c>
      <c r="BJ25" s="60">
        <v>934</v>
      </c>
      <c r="BK25" s="64">
        <v>169</v>
      </c>
      <c r="BL25" s="67">
        <v>165</v>
      </c>
      <c r="BM25" s="60">
        <v>334</v>
      </c>
      <c r="BN25" s="64">
        <v>145</v>
      </c>
      <c r="BO25" s="67">
        <v>174</v>
      </c>
      <c r="BP25" s="60">
        <v>319</v>
      </c>
      <c r="BQ25" s="64">
        <v>79</v>
      </c>
      <c r="BR25" s="67">
        <v>202</v>
      </c>
      <c r="BS25" s="60">
        <v>281</v>
      </c>
      <c r="BT25" s="64">
        <v>0</v>
      </c>
      <c r="BU25" s="67">
        <v>0</v>
      </c>
      <c r="BV25" s="60">
        <v>0</v>
      </c>
      <c r="BW25" s="64">
        <v>0</v>
      </c>
      <c r="BX25" s="67">
        <v>0</v>
      </c>
      <c r="BY25" s="60">
        <v>0</v>
      </c>
      <c r="BZ25" s="64">
        <v>0</v>
      </c>
      <c r="CA25" s="67">
        <v>0</v>
      </c>
      <c r="CB25" s="60">
        <v>0</v>
      </c>
      <c r="CC25" s="64">
        <v>0</v>
      </c>
      <c r="CD25" s="67">
        <v>0</v>
      </c>
      <c r="CE25" s="60">
        <v>0</v>
      </c>
      <c r="CF25" s="64">
        <v>0</v>
      </c>
      <c r="CG25" s="67">
        <v>0</v>
      </c>
      <c r="CH25" s="60">
        <v>0</v>
      </c>
      <c r="CI25" s="64">
        <v>0</v>
      </c>
      <c r="CJ25" s="67">
        <v>0</v>
      </c>
      <c r="CK25" s="60">
        <v>0</v>
      </c>
      <c r="CL25" s="64">
        <v>0</v>
      </c>
      <c r="CM25" s="67">
        <v>0</v>
      </c>
      <c r="CN25" s="60">
        <v>0</v>
      </c>
      <c r="CO25" s="64">
        <v>0</v>
      </c>
      <c r="CP25" s="67">
        <v>0</v>
      </c>
      <c r="CQ25" s="60">
        <v>0</v>
      </c>
    </row>
    <row r="26" spans="2:95">
      <c r="B26" s="61" t="s">
        <v>72</v>
      </c>
      <c r="C26" s="64">
        <v>225</v>
      </c>
      <c r="D26" s="67">
        <v>241</v>
      </c>
      <c r="E26" s="60">
        <v>466</v>
      </c>
      <c r="F26" s="64">
        <v>71</v>
      </c>
      <c r="G26" s="67">
        <v>32</v>
      </c>
      <c r="H26" s="60">
        <v>103</v>
      </c>
      <c r="I26" s="64">
        <v>73</v>
      </c>
      <c r="J26" s="67">
        <v>74</v>
      </c>
      <c r="K26" s="60">
        <v>147</v>
      </c>
      <c r="L26" s="64">
        <v>81</v>
      </c>
      <c r="M26" s="67">
        <v>135</v>
      </c>
      <c r="N26" s="60">
        <v>216</v>
      </c>
      <c r="O26" s="64"/>
      <c r="P26" s="67"/>
      <c r="Q26" s="69"/>
      <c r="R26" s="64"/>
      <c r="S26" s="67"/>
      <c r="T26" s="69"/>
      <c r="U26" s="64"/>
      <c r="V26" s="67"/>
      <c r="W26" s="69"/>
      <c r="X26" s="64">
        <v>113</v>
      </c>
      <c r="Y26" s="67">
        <v>183</v>
      </c>
      <c r="Z26" s="60">
        <v>296</v>
      </c>
      <c r="AA26" s="64">
        <v>60</v>
      </c>
      <c r="AB26" s="67">
        <v>84</v>
      </c>
      <c r="AC26" s="60">
        <v>144</v>
      </c>
      <c r="AD26" s="64">
        <v>41</v>
      </c>
      <c r="AE26" s="67">
        <v>66</v>
      </c>
      <c r="AF26" s="60">
        <v>107</v>
      </c>
      <c r="AG26" s="64">
        <v>12</v>
      </c>
      <c r="AH26" s="67">
        <v>33</v>
      </c>
      <c r="AI26" s="60">
        <v>45</v>
      </c>
      <c r="AJ26" s="64">
        <v>110</v>
      </c>
      <c r="AK26" s="67">
        <v>179</v>
      </c>
      <c r="AL26" s="60">
        <v>289</v>
      </c>
      <c r="AM26" s="64">
        <v>58</v>
      </c>
      <c r="AN26" s="67">
        <v>82</v>
      </c>
      <c r="AO26" s="60">
        <v>140</v>
      </c>
      <c r="AP26" s="64">
        <v>40</v>
      </c>
      <c r="AQ26" s="67">
        <v>64</v>
      </c>
      <c r="AR26" s="60">
        <v>104</v>
      </c>
      <c r="AS26" s="64">
        <v>12</v>
      </c>
      <c r="AT26" s="67">
        <v>33</v>
      </c>
      <c r="AU26" s="60">
        <v>45</v>
      </c>
      <c r="AV26" s="64">
        <v>7528</v>
      </c>
      <c r="AW26" s="67">
        <v>12726</v>
      </c>
      <c r="AX26" s="60">
        <v>20254</v>
      </c>
      <c r="AY26" s="64">
        <v>4189</v>
      </c>
      <c r="AZ26" s="67">
        <v>6358</v>
      </c>
      <c r="BA26" s="60">
        <v>10547</v>
      </c>
      <c r="BB26" s="64">
        <v>2368</v>
      </c>
      <c r="BC26" s="67">
        <v>4002</v>
      </c>
      <c r="BD26" s="60">
        <v>6370</v>
      </c>
      <c r="BE26" s="64">
        <v>971</v>
      </c>
      <c r="BF26" s="67">
        <v>2366</v>
      </c>
      <c r="BG26" s="60">
        <v>3337</v>
      </c>
      <c r="BH26" s="64">
        <v>509</v>
      </c>
      <c r="BI26" s="67">
        <v>646</v>
      </c>
      <c r="BJ26" s="60">
        <v>1155</v>
      </c>
      <c r="BK26" s="64">
        <v>229</v>
      </c>
      <c r="BL26" s="67">
        <v>210</v>
      </c>
      <c r="BM26" s="60">
        <v>439</v>
      </c>
      <c r="BN26" s="64">
        <v>173</v>
      </c>
      <c r="BO26" s="67">
        <v>205</v>
      </c>
      <c r="BP26" s="60">
        <v>378</v>
      </c>
      <c r="BQ26" s="64">
        <v>107</v>
      </c>
      <c r="BR26" s="67">
        <v>231</v>
      </c>
      <c r="BS26" s="60">
        <v>338</v>
      </c>
      <c r="BT26" s="64">
        <v>0</v>
      </c>
      <c r="BU26" s="67">
        <v>0</v>
      </c>
      <c r="BV26" s="60">
        <v>0</v>
      </c>
      <c r="BW26" s="64">
        <v>0</v>
      </c>
      <c r="BX26" s="67">
        <v>0</v>
      </c>
      <c r="BY26" s="60">
        <v>0</v>
      </c>
      <c r="BZ26" s="64">
        <v>0</v>
      </c>
      <c r="CA26" s="67">
        <v>0</v>
      </c>
      <c r="CB26" s="60">
        <v>0</v>
      </c>
      <c r="CC26" s="64">
        <v>0</v>
      </c>
      <c r="CD26" s="67">
        <v>0</v>
      </c>
      <c r="CE26" s="60">
        <v>0</v>
      </c>
      <c r="CF26" s="64">
        <v>0</v>
      </c>
      <c r="CG26" s="67">
        <v>0</v>
      </c>
      <c r="CH26" s="60">
        <v>0</v>
      </c>
      <c r="CI26" s="64">
        <v>0</v>
      </c>
      <c r="CJ26" s="67">
        <v>0</v>
      </c>
      <c r="CK26" s="60">
        <v>0</v>
      </c>
      <c r="CL26" s="64">
        <v>0</v>
      </c>
      <c r="CM26" s="67">
        <v>0</v>
      </c>
      <c r="CN26" s="60">
        <v>0</v>
      </c>
      <c r="CO26" s="64">
        <v>0</v>
      </c>
      <c r="CP26" s="67">
        <v>0</v>
      </c>
      <c r="CQ26" s="60">
        <v>0</v>
      </c>
    </row>
    <row r="27" spans="2:95">
      <c r="B27" s="61" t="s">
        <v>71</v>
      </c>
      <c r="C27" s="64">
        <v>247</v>
      </c>
      <c r="D27" s="67">
        <v>276</v>
      </c>
      <c r="E27" s="60">
        <v>523</v>
      </c>
      <c r="F27" s="64">
        <v>77</v>
      </c>
      <c r="G27" s="67">
        <v>49</v>
      </c>
      <c r="H27" s="60">
        <v>126</v>
      </c>
      <c r="I27" s="64">
        <v>76</v>
      </c>
      <c r="J27" s="67">
        <v>67</v>
      </c>
      <c r="K27" s="60">
        <v>143</v>
      </c>
      <c r="L27" s="64">
        <v>94</v>
      </c>
      <c r="M27" s="67">
        <v>160</v>
      </c>
      <c r="N27" s="60">
        <v>254</v>
      </c>
      <c r="O27" s="64"/>
      <c r="P27" s="67"/>
      <c r="Q27" s="69"/>
      <c r="R27" s="64"/>
      <c r="S27" s="67"/>
      <c r="T27" s="69"/>
      <c r="U27" s="64"/>
      <c r="V27" s="67"/>
      <c r="W27" s="69"/>
      <c r="X27" s="239">
        <v>9</v>
      </c>
      <c r="Y27" s="240">
        <v>21</v>
      </c>
      <c r="Z27" s="240">
        <v>30</v>
      </c>
      <c r="AA27" s="239">
        <v>7</v>
      </c>
      <c r="AB27" s="240">
        <v>7</v>
      </c>
      <c r="AC27" s="240">
        <v>14</v>
      </c>
      <c r="AD27" s="239">
        <v>2</v>
      </c>
      <c r="AE27" s="240">
        <v>5</v>
      </c>
      <c r="AF27" s="240">
        <v>7</v>
      </c>
      <c r="AG27" s="239">
        <v>0</v>
      </c>
      <c r="AH27" s="240">
        <v>9</v>
      </c>
      <c r="AI27" s="240">
        <v>9</v>
      </c>
      <c r="AJ27" s="64">
        <v>9</v>
      </c>
      <c r="AK27" s="67">
        <v>21</v>
      </c>
      <c r="AL27" s="60">
        <v>30</v>
      </c>
      <c r="AM27" s="64">
        <v>7</v>
      </c>
      <c r="AN27" s="67">
        <v>7</v>
      </c>
      <c r="AO27" s="60">
        <v>14</v>
      </c>
      <c r="AP27" s="64">
        <v>2</v>
      </c>
      <c r="AQ27" s="67">
        <v>5</v>
      </c>
      <c r="AR27" s="60">
        <v>7</v>
      </c>
      <c r="AS27" s="64">
        <v>0</v>
      </c>
      <c r="AT27" s="67">
        <v>9</v>
      </c>
      <c r="AU27" s="60">
        <v>9</v>
      </c>
      <c r="AV27" s="64">
        <v>7130</v>
      </c>
      <c r="AW27" s="67">
        <v>11863</v>
      </c>
      <c r="AX27" s="60">
        <v>18993</v>
      </c>
      <c r="AY27" s="64">
        <v>4441</v>
      </c>
      <c r="AZ27" s="67">
        <v>6719</v>
      </c>
      <c r="BA27" s="60">
        <v>11160</v>
      </c>
      <c r="BB27" s="64">
        <v>2064</v>
      </c>
      <c r="BC27" s="67">
        <v>3546</v>
      </c>
      <c r="BD27" s="60">
        <v>5610</v>
      </c>
      <c r="BE27" s="64">
        <v>625</v>
      </c>
      <c r="BF27" s="67">
        <v>1598</v>
      </c>
      <c r="BG27" s="60">
        <v>2223</v>
      </c>
      <c r="BH27" s="64">
        <v>342</v>
      </c>
      <c r="BI27" s="67">
        <v>392</v>
      </c>
      <c r="BJ27" s="60">
        <v>734</v>
      </c>
      <c r="BK27" s="64">
        <v>146</v>
      </c>
      <c r="BL27" s="67">
        <v>136</v>
      </c>
      <c r="BM27" s="60">
        <v>282</v>
      </c>
      <c r="BN27" s="64">
        <v>123</v>
      </c>
      <c r="BO27" s="67">
        <v>126</v>
      </c>
      <c r="BP27" s="60">
        <v>249</v>
      </c>
      <c r="BQ27" s="64">
        <v>73</v>
      </c>
      <c r="BR27" s="67">
        <v>130</v>
      </c>
      <c r="BS27" s="60">
        <v>203</v>
      </c>
      <c r="BT27" s="64">
        <v>0</v>
      </c>
      <c r="BU27" s="67">
        <v>0</v>
      </c>
      <c r="BV27" s="60">
        <v>0</v>
      </c>
      <c r="BW27" s="64">
        <v>0</v>
      </c>
      <c r="BX27" s="67">
        <v>0</v>
      </c>
      <c r="BY27" s="60">
        <v>0</v>
      </c>
      <c r="BZ27" s="64">
        <v>0</v>
      </c>
      <c r="CA27" s="67">
        <v>0</v>
      </c>
      <c r="CB27" s="60">
        <v>0</v>
      </c>
      <c r="CC27" s="64">
        <v>0</v>
      </c>
      <c r="CD27" s="67">
        <v>0</v>
      </c>
      <c r="CE27" s="60">
        <v>0</v>
      </c>
      <c r="CF27" s="64">
        <v>22</v>
      </c>
      <c r="CG27" s="67">
        <v>54</v>
      </c>
      <c r="CH27" s="60">
        <v>76</v>
      </c>
      <c r="CI27" s="64">
        <v>11</v>
      </c>
      <c r="CJ27" s="67">
        <v>31</v>
      </c>
      <c r="CK27" s="60">
        <v>42</v>
      </c>
      <c r="CL27" s="64">
        <v>7</v>
      </c>
      <c r="CM27" s="67">
        <v>8</v>
      </c>
      <c r="CN27" s="60">
        <v>15</v>
      </c>
      <c r="CO27" s="64">
        <v>4</v>
      </c>
      <c r="CP27" s="67">
        <v>15</v>
      </c>
      <c r="CQ27" s="60">
        <v>19</v>
      </c>
    </row>
    <row r="28" spans="2:95">
      <c r="B28" s="61" t="s">
        <v>70</v>
      </c>
      <c r="C28" s="64">
        <v>482</v>
      </c>
      <c r="D28" s="67">
        <v>493</v>
      </c>
      <c r="E28" s="60">
        <v>975</v>
      </c>
      <c r="F28" s="64">
        <v>216</v>
      </c>
      <c r="G28" s="67">
        <v>128</v>
      </c>
      <c r="H28" s="60">
        <v>344</v>
      </c>
      <c r="I28" s="64">
        <v>145</v>
      </c>
      <c r="J28" s="67">
        <v>149</v>
      </c>
      <c r="K28" s="60">
        <v>294</v>
      </c>
      <c r="L28" s="64">
        <v>121</v>
      </c>
      <c r="M28" s="67">
        <v>216</v>
      </c>
      <c r="N28" s="60">
        <v>337</v>
      </c>
      <c r="O28" s="64"/>
      <c r="P28" s="67"/>
      <c r="Q28" s="69"/>
      <c r="R28" s="64"/>
      <c r="S28" s="67"/>
      <c r="T28" s="69"/>
      <c r="U28" s="64"/>
      <c r="V28" s="67"/>
      <c r="W28" s="69"/>
      <c r="X28" s="64">
        <v>6</v>
      </c>
      <c r="Y28" s="67">
        <v>19</v>
      </c>
      <c r="Z28" s="60">
        <v>25</v>
      </c>
      <c r="AA28" s="64">
        <v>3</v>
      </c>
      <c r="AB28" s="67">
        <v>11</v>
      </c>
      <c r="AC28" s="60">
        <v>14</v>
      </c>
      <c r="AD28" s="64">
        <v>2</v>
      </c>
      <c r="AE28" s="67">
        <v>6</v>
      </c>
      <c r="AF28" s="60">
        <v>8</v>
      </c>
      <c r="AG28" s="64">
        <v>1</v>
      </c>
      <c r="AH28" s="67">
        <v>2</v>
      </c>
      <c r="AI28" s="60">
        <v>3</v>
      </c>
      <c r="AJ28" s="64">
        <v>8</v>
      </c>
      <c r="AK28" s="67">
        <v>30</v>
      </c>
      <c r="AL28" s="60">
        <v>38</v>
      </c>
      <c r="AM28" s="64">
        <v>3</v>
      </c>
      <c r="AN28" s="67">
        <v>10</v>
      </c>
      <c r="AO28" s="60">
        <v>13</v>
      </c>
      <c r="AP28" s="64">
        <v>3</v>
      </c>
      <c r="AQ28" s="67">
        <v>11</v>
      </c>
      <c r="AR28" s="60">
        <v>14</v>
      </c>
      <c r="AS28" s="64">
        <v>2</v>
      </c>
      <c r="AT28" s="67">
        <v>9</v>
      </c>
      <c r="AU28" s="60">
        <v>11</v>
      </c>
      <c r="AV28" s="64">
        <v>5777</v>
      </c>
      <c r="AW28" s="67">
        <v>9915</v>
      </c>
      <c r="AX28" s="60">
        <v>15692</v>
      </c>
      <c r="AY28" s="64">
        <v>3561</v>
      </c>
      <c r="AZ28" s="67">
        <v>5732</v>
      </c>
      <c r="BA28" s="60">
        <v>9293</v>
      </c>
      <c r="BB28" s="64">
        <v>1721</v>
      </c>
      <c r="BC28" s="67">
        <v>2874</v>
      </c>
      <c r="BD28" s="60">
        <v>4595</v>
      </c>
      <c r="BE28" s="64">
        <v>495</v>
      </c>
      <c r="BF28" s="67">
        <v>1309</v>
      </c>
      <c r="BG28" s="60">
        <v>1804</v>
      </c>
      <c r="BH28" s="64">
        <v>317</v>
      </c>
      <c r="BI28" s="67">
        <v>355</v>
      </c>
      <c r="BJ28" s="60">
        <v>672</v>
      </c>
      <c r="BK28" s="64">
        <v>149</v>
      </c>
      <c r="BL28" s="67">
        <v>127</v>
      </c>
      <c r="BM28" s="60">
        <v>276</v>
      </c>
      <c r="BN28" s="64">
        <v>113</v>
      </c>
      <c r="BO28" s="67">
        <v>126</v>
      </c>
      <c r="BP28" s="60">
        <v>239</v>
      </c>
      <c r="BQ28" s="64">
        <v>55</v>
      </c>
      <c r="BR28" s="67">
        <v>102</v>
      </c>
      <c r="BS28" s="60">
        <v>157</v>
      </c>
      <c r="BT28" s="64">
        <v>0</v>
      </c>
      <c r="BU28" s="67">
        <v>0</v>
      </c>
      <c r="BV28" s="60">
        <v>0</v>
      </c>
      <c r="BW28" s="64">
        <v>0</v>
      </c>
      <c r="BX28" s="67">
        <v>0</v>
      </c>
      <c r="BY28" s="60">
        <v>0</v>
      </c>
      <c r="BZ28" s="64">
        <v>0</v>
      </c>
      <c r="CA28" s="67">
        <v>0</v>
      </c>
      <c r="CB28" s="60">
        <v>0</v>
      </c>
      <c r="CC28" s="64">
        <v>0</v>
      </c>
      <c r="CD28" s="67">
        <v>0</v>
      </c>
      <c r="CE28" s="60">
        <v>0</v>
      </c>
      <c r="CF28" s="64">
        <v>0</v>
      </c>
      <c r="CG28" s="67">
        <v>0</v>
      </c>
      <c r="CH28" s="60">
        <v>0</v>
      </c>
      <c r="CI28" s="64">
        <v>0</v>
      </c>
      <c r="CJ28" s="67">
        <v>0</v>
      </c>
      <c r="CK28" s="60">
        <v>0</v>
      </c>
      <c r="CL28" s="64">
        <v>0</v>
      </c>
      <c r="CM28" s="67">
        <v>0</v>
      </c>
      <c r="CN28" s="60">
        <v>0</v>
      </c>
      <c r="CO28" s="64">
        <v>0</v>
      </c>
      <c r="CP28" s="67">
        <v>0</v>
      </c>
      <c r="CQ28" s="60">
        <v>0</v>
      </c>
    </row>
    <row r="29" spans="2:95">
      <c r="B29" s="61" t="s">
        <v>69</v>
      </c>
      <c r="C29" s="64">
        <v>291</v>
      </c>
      <c r="D29" s="67">
        <v>292</v>
      </c>
      <c r="E29" s="60">
        <v>583</v>
      </c>
      <c r="F29" s="64">
        <v>98</v>
      </c>
      <c r="G29" s="67">
        <v>79</v>
      </c>
      <c r="H29" s="60">
        <v>177</v>
      </c>
      <c r="I29" s="64">
        <v>78</v>
      </c>
      <c r="J29" s="67">
        <v>92</v>
      </c>
      <c r="K29" s="60">
        <v>170</v>
      </c>
      <c r="L29" s="64">
        <v>115</v>
      </c>
      <c r="M29" s="67">
        <v>121</v>
      </c>
      <c r="N29" s="60">
        <v>236</v>
      </c>
      <c r="O29" s="64"/>
      <c r="P29" s="67"/>
      <c r="Q29" s="69"/>
      <c r="R29" s="64"/>
      <c r="S29" s="67"/>
      <c r="T29" s="69"/>
      <c r="U29" s="64"/>
      <c r="V29" s="67"/>
      <c r="W29" s="69"/>
      <c r="X29" s="64">
        <v>0</v>
      </c>
      <c r="Y29" s="67">
        <v>0</v>
      </c>
      <c r="Z29" s="60">
        <v>0</v>
      </c>
      <c r="AA29" s="64">
        <v>0</v>
      </c>
      <c r="AB29" s="67">
        <v>0</v>
      </c>
      <c r="AC29" s="60">
        <v>0</v>
      </c>
      <c r="AD29" s="64">
        <v>0</v>
      </c>
      <c r="AE29" s="67">
        <v>0</v>
      </c>
      <c r="AF29" s="60">
        <v>0</v>
      </c>
      <c r="AG29" s="64">
        <v>0</v>
      </c>
      <c r="AH29" s="67">
        <v>0</v>
      </c>
      <c r="AI29" s="60">
        <v>0</v>
      </c>
      <c r="AJ29" s="64">
        <v>0</v>
      </c>
      <c r="AK29" s="67">
        <v>0</v>
      </c>
      <c r="AL29" s="60">
        <v>0</v>
      </c>
      <c r="AM29" s="64">
        <v>0</v>
      </c>
      <c r="AN29" s="67">
        <v>0</v>
      </c>
      <c r="AO29" s="60">
        <v>0</v>
      </c>
      <c r="AP29" s="64">
        <v>0</v>
      </c>
      <c r="AQ29" s="67">
        <v>0</v>
      </c>
      <c r="AR29" s="60">
        <v>0</v>
      </c>
      <c r="AS29" s="64">
        <v>0</v>
      </c>
      <c r="AT29" s="67">
        <v>0</v>
      </c>
      <c r="AU29" s="60">
        <v>0</v>
      </c>
      <c r="AV29" s="64">
        <v>9725</v>
      </c>
      <c r="AW29" s="67">
        <v>9763</v>
      </c>
      <c r="AX29" s="60">
        <v>19488</v>
      </c>
      <c r="AY29" s="64">
        <v>6470</v>
      </c>
      <c r="AZ29" s="67">
        <v>6521</v>
      </c>
      <c r="BA29" s="60">
        <v>12991</v>
      </c>
      <c r="BB29" s="64">
        <v>2423</v>
      </c>
      <c r="BC29" s="67">
        <v>2416</v>
      </c>
      <c r="BD29" s="60">
        <v>4839</v>
      </c>
      <c r="BE29" s="64">
        <v>832</v>
      </c>
      <c r="BF29" s="67">
        <v>826</v>
      </c>
      <c r="BG29" s="60">
        <v>1658</v>
      </c>
      <c r="BH29" s="64">
        <v>500</v>
      </c>
      <c r="BI29" s="67">
        <v>554</v>
      </c>
      <c r="BJ29" s="60">
        <v>1054</v>
      </c>
      <c r="BK29" s="64">
        <v>236</v>
      </c>
      <c r="BL29" s="67">
        <v>196</v>
      </c>
      <c r="BM29" s="60">
        <v>432</v>
      </c>
      <c r="BN29" s="64">
        <v>158</v>
      </c>
      <c r="BO29" s="67">
        <v>174</v>
      </c>
      <c r="BP29" s="60">
        <v>332</v>
      </c>
      <c r="BQ29" s="64">
        <v>106</v>
      </c>
      <c r="BR29" s="67">
        <v>184</v>
      </c>
      <c r="BS29" s="60">
        <v>290</v>
      </c>
      <c r="BT29" s="64">
        <v>0</v>
      </c>
      <c r="BU29" s="67">
        <v>0</v>
      </c>
      <c r="BV29" s="60">
        <v>0</v>
      </c>
      <c r="BW29" s="64">
        <v>0</v>
      </c>
      <c r="BX29" s="67">
        <v>0</v>
      </c>
      <c r="BY29" s="60">
        <v>0</v>
      </c>
      <c r="BZ29" s="64">
        <v>0</v>
      </c>
      <c r="CA29" s="67">
        <v>0</v>
      </c>
      <c r="CB29" s="60">
        <v>0</v>
      </c>
      <c r="CC29" s="64">
        <v>0</v>
      </c>
      <c r="CD29" s="67">
        <v>0</v>
      </c>
      <c r="CE29" s="60">
        <v>0</v>
      </c>
      <c r="CF29" s="64">
        <v>0</v>
      </c>
      <c r="CG29" s="67">
        <v>0</v>
      </c>
      <c r="CH29" s="60">
        <v>0</v>
      </c>
      <c r="CI29" s="64">
        <v>0</v>
      </c>
      <c r="CJ29" s="67">
        <v>0</v>
      </c>
      <c r="CK29" s="60">
        <v>0</v>
      </c>
      <c r="CL29" s="64">
        <v>0</v>
      </c>
      <c r="CM29" s="67">
        <v>0</v>
      </c>
      <c r="CN29" s="60">
        <v>0</v>
      </c>
      <c r="CO29" s="64">
        <v>0</v>
      </c>
      <c r="CP29" s="67">
        <v>0</v>
      </c>
      <c r="CQ29" s="60">
        <v>0</v>
      </c>
    </row>
    <row r="30" spans="2:95">
      <c r="B30" s="61" t="s">
        <v>68</v>
      </c>
      <c r="C30" s="64">
        <v>358</v>
      </c>
      <c r="D30" s="67">
        <v>351</v>
      </c>
      <c r="E30" s="60">
        <v>709</v>
      </c>
      <c r="F30" s="64">
        <v>123</v>
      </c>
      <c r="G30" s="67">
        <v>89</v>
      </c>
      <c r="H30" s="60">
        <v>212</v>
      </c>
      <c r="I30" s="64">
        <v>101</v>
      </c>
      <c r="J30" s="67">
        <v>116</v>
      </c>
      <c r="K30" s="60">
        <v>217</v>
      </c>
      <c r="L30" s="64">
        <v>134</v>
      </c>
      <c r="M30" s="67">
        <v>146</v>
      </c>
      <c r="N30" s="60">
        <v>280</v>
      </c>
      <c r="O30" s="64"/>
      <c r="P30" s="67"/>
      <c r="Q30" s="69"/>
      <c r="R30" s="64"/>
      <c r="S30" s="67"/>
      <c r="T30" s="69"/>
      <c r="U30" s="64"/>
      <c r="V30" s="67"/>
      <c r="W30" s="69"/>
      <c r="X30" s="64">
        <v>138</v>
      </c>
      <c r="Y30" s="67">
        <v>221</v>
      </c>
      <c r="Z30" s="60">
        <v>359</v>
      </c>
      <c r="AA30" s="64">
        <v>42</v>
      </c>
      <c r="AB30" s="67">
        <v>58</v>
      </c>
      <c r="AC30" s="60">
        <v>100</v>
      </c>
      <c r="AD30" s="64">
        <v>42</v>
      </c>
      <c r="AE30" s="67">
        <v>73</v>
      </c>
      <c r="AF30" s="60">
        <v>115</v>
      </c>
      <c r="AG30" s="64">
        <v>54</v>
      </c>
      <c r="AH30" s="67">
        <v>90</v>
      </c>
      <c r="AI30" s="60">
        <v>144</v>
      </c>
      <c r="AJ30" s="64">
        <v>138</v>
      </c>
      <c r="AK30" s="67">
        <v>221</v>
      </c>
      <c r="AL30" s="60">
        <v>359</v>
      </c>
      <c r="AM30" s="64">
        <v>42</v>
      </c>
      <c r="AN30" s="67">
        <v>58</v>
      </c>
      <c r="AO30" s="60">
        <v>100</v>
      </c>
      <c r="AP30" s="64">
        <v>42</v>
      </c>
      <c r="AQ30" s="67">
        <v>73</v>
      </c>
      <c r="AR30" s="60">
        <v>115</v>
      </c>
      <c r="AS30" s="64">
        <v>54</v>
      </c>
      <c r="AT30" s="67">
        <v>90</v>
      </c>
      <c r="AU30" s="60">
        <v>144</v>
      </c>
      <c r="AV30" s="64">
        <v>7814</v>
      </c>
      <c r="AW30" s="67">
        <v>15020</v>
      </c>
      <c r="AX30" s="60">
        <v>22834</v>
      </c>
      <c r="AY30" s="64">
        <v>5179</v>
      </c>
      <c r="AZ30" s="67">
        <v>8979</v>
      </c>
      <c r="BA30" s="60">
        <v>14158</v>
      </c>
      <c r="BB30" s="64">
        <v>1951</v>
      </c>
      <c r="BC30" s="67">
        <v>4115</v>
      </c>
      <c r="BD30" s="60">
        <v>6066</v>
      </c>
      <c r="BE30" s="64">
        <v>684</v>
      </c>
      <c r="BF30" s="67">
        <v>1926</v>
      </c>
      <c r="BG30" s="60">
        <v>2610</v>
      </c>
      <c r="BH30" s="64">
        <v>615</v>
      </c>
      <c r="BI30" s="67">
        <v>768</v>
      </c>
      <c r="BJ30" s="60">
        <v>1383</v>
      </c>
      <c r="BK30" s="64">
        <v>274</v>
      </c>
      <c r="BL30" s="67">
        <v>278</v>
      </c>
      <c r="BM30" s="60">
        <v>552</v>
      </c>
      <c r="BN30" s="64">
        <v>222</v>
      </c>
      <c r="BO30" s="67">
        <v>283</v>
      </c>
      <c r="BP30" s="60">
        <v>505</v>
      </c>
      <c r="BQ30" s="64">
        <v>119</v>
      </c>
      <c r="BR30" s="67">
        <v>207</v>
      </c>
      <c r="BS30" s="60">
        <v>326</v>
      </c>
      <c r="BT30" s="64">
        <v>0</v>
      </c>
      <c r="BU30" s="67">
        <v>0</v>
      </c>
      <c r="BV30" s="60">
        <v>0</v>
      </c>
      <c r="BW30" s="64">
        <v>0</v>
      </c>
      <c r="BX30" s="67">
        <v>0</v>
      </c>
      <c r="BY30" s="60">
        <v>0</v>
      </c>
      <c r="BZ30" s="64">
        <v>0</v>
      </c>
      <c r="CA30" s="67">
        <v>0</v>
      </c>
      <c r="CB30" s="60">
        <v>0</v>
      </c>
      <c r="CC30" s="64">
        <v>0</v>
      </c>
      <c r="CD30" s="67">
        <v>0</v>
      </c>
      <c r="CE30" s="60">
        <v>0</v>
      </c>
      <c r="CF30" s="64">
        <v>0</v>
      </c>
      <c r="CG30" s="67">
        <v>0</v>
      </c>
      <c r="CH30" s="60">
        <v>0</v>
      </c>
      <c r="CI30" s="64">
        <v>0</v>
      </c>
      <c r="CJ30" s="67">
        <v>0</v>
      </c>
      <c r="CK30" s="60">
        <v>0</v>
      </c>
      <c r="CL30" s="64">
        <v>0</v>
      </c>
      <c r="CM30" s="67">
        <v>0</v>
      </c>
      <c r="CN30" s="60">
        <v>0</v>
      </c>
      <c r="CO30" s="64">
        <v>0</v>
      </c>
      <c r="CP30" s="67">
        <v>0</v>
      </c>
      <c r="CQ30" s="60">
        <v>0</v>
      </c>
    </row>
    <row r="31" spans="2:95">
      <c r="B31" s="61" t="s">
        <v>67</v>
      </c>
      <c r="C31" s="64">
        <v>32</v>
      </c>
      <c r="D31" s="67">
        <v>35</v>
      </c>
      <c r="E31" s="60">
        <v>67</v>
      </c>
      <c r="F31" s="64">
        <v>15</v>
      </c>
      <c r="G31" s="67">
        <v>6</v>
      </c>
      <c r="H31" s="60">
        <v>21</v>
      </c>
      <c r="I31" s="64">
        <v>10</v>
      </c>
      <c r="J31" s="67">
        <v>13</v>
      </c>
      <c r="K31" s="60">
        <v>23</v>
      </c>
      <c r="L31" s="64">
        <v>7</v>
      </c>
      <c r="M31" s="67">
        <v>16</v>
      </c>
      <c r="N31" s="60">
        <v>23</v>
      </c>
      <c r="O31" s="64"/>
      <c r="P31" s="67"/>
      <c r="Q31" s="69"/>
      <c r="R31" s="64"/>
      <c r="S31" s="67"/>
      <c r="T31" s="69"/>
      <c r="U31" s="64"/>
      <c r="V31" s="67"/>
      <c r="W31" s="69"/>
      <c r="X31" s="64">
        <v>53</v>
      </c>
      <c r="Y31" s="67">
        <v>75</v>
      </c>
      <c r="Z31" s="60">
        <v>128</v>
      </c>
      <c r="AA31" s="64">
        <v>11</v>
      </c>
      <c r="AB31" s="67">
        <v>13</v>
      </c>
      <c r="AC31" s="60">
        <v>24</v>
      </c>
      <c r="AD31" s="64">
        <v>11</v>
      </c>
      <c r="AE31" s="67">
        <v>19</v>
      </c>
      <c r="AF31" s="60">
        <v>30</v>
      </c>
      <c r="AG31" s="64">
        <v>31</v>
      </c>
      <c r="AH31" s="67">
        <v>43</v>
      </c>
      <c r="AI31" s="60">
        <v>74</v>
      </c>
      <c r="AJ31" s="64">
        <v>53</v>
      </c>
      <c r="AK31" s="67">
        <v>75</v>
      </c>
      <c r="AL31" s="60">
        <v>128</v>
      </c>
      <c r="AM31" s="64">
        <v>11</v>
      </c>
      <c r="AN31" s="67">
        <v>13</v>
      </c>
      <c r="AO31" s="60">
        <v>24</v>
      </c>
      <c r="AP31" s="64">
        <v>11</v>
      </c>
      <c r="AQ31" s="67">
        <v>19</v>
      </c>
      <c r="AR31" s="60">
        <v>30</v>
      </c>
      <c r="AS31" s="64">
        <v>31</v>
      </c>
      <c r="AT31" s="67">
        <v>43</v>
      </c>
      <c r="AU31" s="60">
        <v>74</v>
      </c>
      <c r="AV31" s="64">
        <v>8616</v>
      </c>
      <c r="AW31" s="67">
        <v>15185</v>
      </c>
      <c r="AX31" s="60">
        <v>23801</v>
      </c>
      <c r="AY31" s="64">
        <v>5485</v>
      </c>
      <c r="AZ31" s="67">
        <v>8775</v>
      </c>
      <c r="BA31" s="60">
        <v>14260</v>
      </c>
      <c r="BB31" s="64">
        <v>2347</v>
      </c>
      <c r="BC31" s="67">
        <v>4256</v>
      </c>
      <c r="BD31" s="60">
        <v>6603</v>
      </c>
      <c r="BE31" s="64">
        <v>784</v>
      </c>
      <c r="BF31" s="67">
        <v>2154</v>
      </c>
      <c r="BG31" s="60">
        <v>2938</v>
      </c>
      <c r="BH31" s="64">
        <v>585</v>
      </c>
      <c r="BI31" s="67">
        <v>653</v>
      </c>
      <c r="BJ31" s="60">
        <v>1238</v>
      </c>
      <c r="BK31" s="64">
        <v>280</v>
      </c>
      <c r="BL31" s="67">
        <v>257</v>
      </c>
      <c r="BM31" s="60">
        <v>537</v>
      </c>
      <c r="BN31" s="64">
        <v>190</v>
      </c>
      <c r="BO31" s="67">
        <v>225</v>
      </c>
      <c r="BP31" s="60">
        <v>415</v>
      </c>
      <c r="BQ31" s="64">
        <v>115</v>
      </c>
      <c r="BR31" s="67">
        <v>171</v>
      </c>
      <c r="BS31" s="60">
        <v>286</v>
      </c>
      <c r="BT31" s="64">
        <v>0</v>
      </c>
      <c r="BU31" s="67">
        <v>0</v>
      </c>
      <c r="BV31" s="60">
        <v>0</v>
      </c>
      <c r="BW31" s="64">
        <v>0</v>
      </c>
      <c r="BX31" s="67">
        <v>0</v>
      </c>
      <c r="BY31" s="60">
        <v>0</v>
      </c>
      <c r="BZ31" s="64">
        <v>0</v>
      </c>
      <c r="CA31" s="67">
        <v>0</v>
      </c>
      <c r="CB31" s="60">
        <v>0</v>
      </c>
      <c r="CC31" s="64">
        <v>0</v>
      </c>
      <c r="CD31" s="67">
        <v>0</v>
      </c>
      <c r="CE31" s="60">
        <v>0</v>
      </c>
      <c r="CF31" s="64">
        <v>72</v>
      </c>
      <c r="CG31" s="67">
        <v>113</v>
      </c>
      <c r="CH31" s="60">
        <v>185</v>
      </c>
      <c r="CI31" s="64">
        <v>48</v>
      </c>
      <c r="CJ31" s="67">
        <v>71</v>
      </c>
      <c r="CK31" s="60">
        <v>119</v>
      </c>
      <c r="CL31" s="64">
        <v>17</v>
      </c>
      <c r="CM31" s="67">
        <v>29</v>
      </c>
      <c r="CN31" s="60">
        <v>46</v>
      </c>
      <c r="CO31" s="64">
        <v>7</v>
      </c>
      <c r="CP31" s="67">
        <v>13</v>
      </c>
      <c r="CQ31" s="60">
        <v>20</v>
      </c>
    </row>
    <row r="32" spans="2:95">
      <c r="B32" s="61" t="s">
        <v>66</v>
      </c>
      <c r="C32" s="64">
        <v>25</v>
      </c>
      <c r="D32" s="67">
        <v>41</v>
      </c>
      <c r="E32" s="60">
        <v>66</v>
      </c>
      <c r="F32" s="64">
        <v>10</v>
      </c>
      <c r="G32" s="67">
        <v>10</v>
      </c>
      <c r="H32" s="60">
        <v>20</v>
      </c>
      <c r="I32" s="64">
        <v>6</v>
      </c>
      <c r="J32" s="67">
        <v>7</v>
      </c>
      <c r="K32" s="60">
        <v>13</v>
      </c>
      <c r="L32" s="64">
        <v>9</v>
      </c>
      <c r="M32" s="67">
        <v>24</v>
      </c>
      <c r="N32" s="60">
        <v>33</v>
      </c>
      <c r="O32" s="64" t="s">
        <v>98</v>
      </c>
      <c r="P32" s="67" t="s">
        <v>96</v>
      </c>
      <c r="Q32" s="69"/>
      <c r="R32" s="64" t="s">
        <v>415</v>
      </c>
      <c r="S32" s="67" t="s">
        <v>439</v>
      </c>
      <c r="T32" s="69"/>
      <c r="U32" s="64" t="s">
        <v>440</v>
      </c>
      <c r="V32" s="67" t="s">
        <v>98</v>
      </c>
      <c r="W32" s="69"/>
      <c r="X32" s="64">
        <v>22</v>
      </c>
      <c r="Y32" s="67">
        <v>43</v>
      </c>
      <c r="Z32" s="60">
        <v>65</v>
      </c>
      <c r="AA32" s="64">
        <v>6</v>
      </c>
      <c r="AB32" s="67">
        <v>10</v>
      </c>
      <c r="AC32" s="60">
        <v>16</v>
      </c>
      <c r="AD32" s="64">
        <v>12</v>
      </c>
      <c r="AE32" s="67">
        <v>16</v>
      </c>
      <c r="AF32" s="60">
        <v>28</v>
      </c>
      <c r="AG32" s="64">
        <v>4</v>
      </c>
      <c r="AH32" s="67">
        <v>17</v>
      </c>
      <c r="AI32" s="60">
        <v>21</v>
      </c>
      <c r="AJ32" s="64">
        <v>22</v>
      </c>
      <c r="AK32" s="67">
        <v>43</v>
      </c>
      <c r="AL32" s="60">
        <v>65</v>
      </c>
      <c r="AM32" s="64">
        <v>6</v>
      </c>
      <c r="AN32" s="67">
        <v>10</v>
      </c>
      <c r="AO32" s="60">
        <v>16</v>
      </c>
      <c r="AP32" s="64">
        <v>12</v>
      </c>
      <c r="AQ32" s="67">
        <v>16</v>
      </c>
      <c r="AR32" s="60">
        <v>28</v>
      </c>
      <c r="AS32" s="64">
        <v>4</v>
      </c>
      <c r="AT32" s="67">
        <v>17</v>
      </c>
      <c r="AU32" s="60">
        <v>21</v>
      </c>
      <c r="AV32" s="64">
        <v>8021</v>
      </c>
      <c r="AW32" s="67">
        <v>12953</v>
      </c>
      <c r="AX32" s="60">
        <v>20974</v>
      </c>
      <c r="AY32" s="64">
        <v>5056</v>
      </c>
      <c r="AZ32" s="67">
        <v>7425</v>
      </c>
      <c r="BA32" s="60">
        <v>12481</v>
      </c>
      <c r="BB32" s="64">
        <v>2229</v>
      </c>
      <c r="BC32" s="67">
        <v>3708</v>
      </c>
      <c r="BD32" s="60">
        <v>5937</v>
      </c>
      <c r="BE32" s="64">
        <v>736</v>
      </c>
      <c r="BF32" s="67">
        <v>1820</v>
      </c>
      <c r="BG32" s="60">
        <v>2556</v>
      </c>
      <c r="BH32" s="64">
        <v>334</v>
      </c>
      <c r="BI32" s="67">
        <v>426</v>
      </c>
      <c r="BJ32" s="60">
        <v>760</v>
      </c>
      <c r="BK32" s="64">
        <v>151</v>
      </c>
      <c r="BL32" s="67">
        <v>157</v>
      </c>
      <c r="BM32" s="60">
        <v>308</v>
      </c>
      <c r="BN32" s="64">
        <v>122</v>
      </c>
      <c r="BO32" s="67">
        <v>134</v>
      </c>
      <c r="BP32" s="60">
        <v>256</v>
      </c>
      <c r="BQ32" s="64">
        <v>61</v>
      </c>
      <c r="BR32" s="67">
        <v>135</v>
      </c>
      <c r="BS32" s="60">
        <v>196</v>
      </c>
      <c r="BT32" s="64">
        <v>107</v>
      </c>
      <c r="BU32" s="67">
        <v>227</v>
      </c>
      <c r="BV32" s="60">
        <v>334</v>
      </c>
      <c r="BW32" s="64">
        <v>78</v>
      </c>
      <c r="BX32" s="67">
        <v>105</v>
      </c>
      <c r="BY32" s="60">
        <v>183</v>
      </c>
      <c r="BZ32" s="64">
        <v>18</v>
      </c>
      <c r="CA32" s="67">
        <v>48</v>
      </c>
      <c r="CB32" s="60">
        <v>66</v>
      </c>
      <c r="CC32" s="64">
        <v>11</v>
      </c>
      <c r="CD32" s="67">
        <v>74</v>
      </c>
      <c r="CE32" s="60">
        <v>85</v>
      </c>
      <c r="CF32" s="64">
        <v>195</v>
      </c>
      <c r="CG32" s="67">
        <v>274</v>
      </c>
      <c r="CH32" s="60">
        <v>469</v>
      </c>
      <c r="CI32" s="64">
        <v>125</v>
      </c>
      <c r="CJ32" s="67">
        <v>185</v>
      </c>
      <c r="CK32" s="60">
        <v>310</v>
      </c>
      <c r="CL32" s="64">
        <v>58</v>
      </c>
      <c r="CM32" s="67">
        <v>75</v>
      </c>
      <c r="CN32" s="60">
        <v>133</v>
      </c>
      <c r="CO32" s="64">
        <v>12</v>
      </c>
      <c r="CP32" s="67">
        <v>14</v>
      </c>
      <c r="CQ32" s="60">
        <v>26</v>
      </c>
    </row>
    <row r="33" spans="2:95">
      <c r="B33" s="61" t="s">
        <v>65</v>
      </c>
      <c r="C33" s="64">
        <v>13</v>
      </c>
      <c r="D33" s="67">
        <v>17</v>
      </c>
      <c r="E33" s="60">
        <v>30</v>
      </c>
      <c r="F33" s="64">
        <v>2</v>
      </c>
      <c r="G33" s="67">
        <v>3</v>
      </c>
      <c r="H33" s="60">
        <v>5</v>
      </c>
      <c r="I33" s="64">
        <v>5</v>
      </c>
      <c r="J33" s="67">
        <v>7</v>
      </c>
      <c r="K33" s="60">
        <v>12</v>
      </c>
      <c r="L33" s="64">
        <v>6</v>
      </c>
      <c r="M33" s="67">
        <v>7</v>
      </c>
      <c r="N33" s="60">
        <v>13</v>
      </c>
      <c r="O33" s="64" t="s">
        <v>441</v>
      </c>
      <c r="P33" s="67" t="s">
        <v>442</v>
      </c>
      <c r="Q33" s="69"/>
      <c r="R33" s="64" t="s">
        <v>443</v>
      </c>
      <c r="S33" s="67" t="s">
        <v>444</v>
      </c>
      <c r="T33" s="69"/>
      <c r="U33" s="64" t="s">
        <v>445</v>
      </c>
      <c r="V33" s="67" t="s">
        <v>446</v>
      </c>
      <c r="W33" s="69"/>
      <c r="X33" s="64">
        <v>65</v>
      </c>
      <c r="Y33" s="67">
        <v>92</v>
      </c>
      <c r="Z33" s="60">
        <v>157</v>
      </c>
      <c r="AA33" s="64">
        <v>25</v>
      </c>
      <c r="AB33" s="67">
        <v>24</v>
      </c>
      <c r="AC33" s="60">
        <v>49</v>
      </c>
      <c r="AD33" s="64">
        <v>17</v>
      </c>
      <c r="AE33" s="67">
        <v>35</v>
      </c>
      <c r="AF33" s="60">
        <v>52</v>
      </c>
      <c r="AG33" s="64">
        <v>23</v>
      </c>
      <c r="AH33" s="67">
        <v>33</v>
      </c>
      <c r="AI33" s="60">
        <v>56</v>
      </c>
      <c r="AJ33" s="64">
        <v>25</v>
      </c>
      <c r="AK33" s="67">
        <v>28</v>
      </c>
      <c r="AL33" s="60">
        <v>53</v>
      </c>
      <c r="AM33" s="64">
        <v>10</v>
      </c>
      <c r="AN33" s="67">
        <v>4</v>
      </c>
      <c r="AO33" s="60">
        <v>14</v>
      </c>
      <c r="AP33" s="64">
        <v>6</v>
      </c>
      <c r="AQ33" s="67">
        <v>5</v>
      </c>
      <c r="AR33" s="60">
        <v>11</v>
      </c>
      <c r="AS33" s="64">
        <v>9</v>
      </c>
      <c r="AT33" s="67">
        <v>19</v>
      </c>
      <c r="AU33" s="60">
        <v>28</v>
      </c>
      <c r="AV33" s="64">
        <v>13821</v>
      </c>
      <c r="AW33" s="67">
        <v>0</v>
      </c>
      <c r="AX33" s="60">
        <v>13821</v>
      </c>
      <c r="AY33" s="64">
        <v>0</v>
      </c>
      <c r="AZ33" s="67">
        <v>0</v>
      </c>
      <c r="BA33" s="60">
        <v>8811</v>
      </c>
      <c r="BB33" s="64">
        <v>0</v>
      </c>
      <c r="BC33" s="67">
        <v>0</v>
      </c>
      <c r="BD33" s="60">
        <v>3559</v>
      </c>
      <c r="BE33" s="64">
        <v>0</v>
      </c>
      <c r="BF33" s="67">
        <v>0</v>
      </c>
      <c r="BG33" s="60">
        <v>1451</v>
      </c>
      <c r="BH33" s="64">
        <v>258</v>
      </c>
      <c r="BI33" s="67">
        <v>268</v>
      </c>
      <c r="BJ33" s="60">
        <v>526</v>
      </c>
      <c r="BK33" s="64">
        <v>132</v>
      </c>
      <c r="BL33" s="67">
        <v>90</v>
      </c>
      <c r="BM33" s="60">
        <v>222</v>
      </c>
      <c r="BN33" s="64">
        <v>82</v>
      </c>
      <c r="BO33" s="67">
        <v>98</v>
      </c>
      <c r="BP33" s="60">
        <v>180</v>
      </c>
      <c r="BQ33" s="64">
        <v>44</v>
      </c>
      <c r="BR33" s="67">
        <v>80</v>
      </c>
      <c r="BS33" s="60">
        <v>124</v>
      </c>
      <c r="BT33" s="64">
        <v>0</v>
      </c>
      <c r="BU33" s="67">
        <v>0</v>
      </c>
      <c r="BV33" s="60">
        <v>0</v>
      </c>
      <c r="BW33" s="64">
        <v>0</v>
      </c>
      <c r="BX33" s="67">
        <v>0</v>
      </c>
      <c r="BY33" s="60">
        <v>0</v>
      </c>
      <c r="BZ33" s="64">
        <v>0</v>
      </c>
      <c r="CA33" s="67">
        <v>0</v>
      </c>
      <c r="CB33" s="60">
        <v>0</v>
      </c>
      <c r="CC33" s="64">
        <v>0</v>
      </c>
      <c r="CD33" s="67">
        <v>0</v>
      </c>
      <c r="CE33" s="60">
        <v>0</v>
      </c>
      <c r="CF33" s="64">
        <v>0</v>
      </c>
      <c r="CG33" s="67">
        <v>0</v>
      </c>
      <c r="CH33" s="60">
        <v>0</v>
      </c>
      <c r="CI33" s="64">
        <v>0</v>
      </c>
      <c r="CJ33" s="67">
        <v>0</v>
      </c>
      <c r="CK33" s="60">
        <v>0</v>
      </c>
      <c r="CL33" s="64">
        <v>0</v>
      </c>
      <c r="CM33" s="67">
        <v>0</v>
      </c>
      <c r="CN33" s="60">
        <v>0</v>
      </c>
      <c r="CO33" s="64">
        <v>0</v>
      </c>
      <c r="CP33" s="67">
        <v>0</v>
      </c>
      <c r="CQ33" s="60">
        <v>0</v>
      </c>
    </row>
    <row r="34" spans="2:95">
      <c r="B34" s="61" t="s">
        <v>64</v>
      </c>
      <c r="C34" s="64">
        <v>25</v>
      </c>
      <c r="D34" s="67">
        <v>23</v>
      </c>
      <c r="E34" s="60">
        <v>48</v>
      </c>
      <c r="F34" s="64">
        <v>11</v>
      </c>
      <c r="G34" s="67">
        <v>6</v>
      </c>
      <c r="H34" s="60">
        <v>17</v>
      </c>
      <c r="I34" s="64">
        <v>8</v>
      </c>
      <c r="J34" s="67">
        <v>2</v>
      </c>
      <c r="K34" s="60">
        <v>10</v>
      </c>
      <c r="L34" s="64">
        <v>6</v>
      </c>
      <c r="M34" s="67">
        <v>15</v>
      </c>
      <c r="N34" s="60">
        <v>21</v>
      </c>
      <c r="O34" s="64">
        <v>0</v>
      </c>
      <c r="P34" s="67">
        <v>0</v>
      </c>
      <c r="Q34" s="69"/>
      <c r="R34" s="64">
        <v>0</v>
      </c>
      <c r="S34" s="67">
        <v>0</v>
      </c>
      <c r="T34" s="69"/>
      <c r="U34" s="64">
        <v>0</v>
      </c>
      <c r="V34" s="67">
        <v>0</v>
      </c>
      <c r="W34" s="69"/>
      <c r="X34" s="64">
        <v>16</v>
      </c>
      <c r="Y34" s="67">
        <v>26</v>
      </c>
      <c r="Z34" s="60">
        <v>42</v>
      </c>
      <c r="AA34" s="64">
        <v>5</v>
      </c>
      <c r="AB34" s="67">
        <v>4</v>
      </c>
      <c r="AC34" s="60">
        <v>9</v>
      </c>
      <c r="AD34" s="64">
        <v>6</v>
      </c>
      <c r="AE34" s="67">
        <v>10</v>
      </c>
      <c r="AF34" s="60">
        <v>16</v>
      </c>
      <c r="AG34" s="64">
        <v>5</v>
      </c>
      <c r="AH34" s="67">
        <v>12</v>
      </c>
      <c r="AI34" s="60">
        <v>17</v>
      </c>
      <c r="AJ34" s="64">
        <v>7</v>
      </c>
      <c r="AK34" s="67">
        <v>23</v>
      </c>
      <c r="AL34" s="60">
        <v>30</v>
      </c>
      <c r="AM34" s="64">
        <v>3</v>
      </c>
      <c r="AN34" s="67">
        <v>4</v>
      </c>
      <c r="AO34" s="60">
        <v>7</v>
      </c>
      <c r="AP34" s="64">
        <v>1</v>
      </c>
      <c r="AQ34" s="67">
        <v>7</v>
      </c>
      <c r="AR34" s="60">
        <v>8</v>
      </c>
      <c r="AS34" s="64">
        <v>3</v>
      </c>
      <c r="AT34" s="67">
        <v>12</v>
      </c>
      <c r="AU34" s="60">
        <v>15</v>
      </c>
      <c r="AV34" s="64">
        <v>8017</v>
      </c>
      <c r="AW34" s="67">
        <v>12592</v>
      </c>
      <c r="AX34" s="60">
        <v>20609</v>
      </c>
      <c r="AY34" s="64">
        <v>5299</v>
      </c>
      <c r="AZ34" s="67">
        <v>7587</v>
      </c>
      <c r="BA34" s="60">
        <v>12886</v>
      </c>
      <c r="BB34" s="64">
        <v>2119</v>
      </c>
      <c r="BC34" s="67">
        <v>3391</v>
      </c>
      <c r="BD34" s="60">
        <v>5510</v>
      </c>
      <c r="BE34" s="64">
        <v>599</v>
      </c>
      <c r="BF34" s="67">
        <v>1614</v>
      </c>
      <c r="BG34" s="60">
        <v>2213</v>
      </c>
      <c r="BH34" s="64">
        <v>421</v>
      </c>
      <c r="BI34" s="67">
        <v>538</v>
      </c>
      <c r="BJ34" s="60">
        <v>959</v>
      </c>
      <c r="BK34" s="64">
        <v>215</v>
      </c>
      <c r="BL34" s="67">
        <v>179</v>
      </c>
      <c r="BM34" s="60">
        <v>394</v>
      </c>
      <c r="BN34" s="64">
        <v>139</v>
      </c>
      <c r="BO34" s="67">
        <v>176</v>
      </c>
      <c r="BP34" s="60">
        <v>315</v>
      </c>
      <c r="BQ34" s="64">
        <v>67</v>
      </c>
      <c r="BR34" s="67">
        <v>183</v>
      </c>
      <c r="BS34" s="60">
        <v>250</v>
      </c>
      <c r="BT34" s="64">
        <v>0</v>
      </c>
      <c r="BU34" s="67">
        <v>0</v>
      </c>
      <c r="BV34" s="60">
        <v>0</v>
      </c>
      <c r="BW34" s="64">
        <v>0</v>
      </c>
      <c r="BX34" s="67">
        <v>0</v>
      </c>
      <c r="BY34" s="60">
        <v>0</v>
      </c>
      <c r="BZ34" s="64">
        <v>0</v>
      </c>
      <c r="CA34" s="67">
        <v>0</v>
      </c>
      <c r="CB34" s="60">
        <v>0</v>
      </c>
      <c r="CC34" s="64">
        <v>0</v>
      </c>
      <c r="CD34" s="67">
        <v>0</v>
      </c>
      <c r="CE34" s="60">
        <v>0</v>
      </c>
      <c r="CF34" s="64">
        <v>0</v>
      </c>
      <c r="CG34" s="67">
        <v>0</v>
      </c>
      <c r="CH34" s="60">
        <v>0</v>
      </c>
      <c r="CI34" s="64">
        <v>0</v>
      </c>
      <c r="CJ34" s="67">
        <v>0</v>
      </c>
      <c r="CK34" s="60">
        <v>0</v>
      </c>
      <c r="CL34" s="64">
        <v>0</v>
      </c>
      <c r="CM34" s="67">
        <v>0</v>
      </c>
      <c r="CN34" s="60">
        <v>0</v>
      </c>
      <c r="CO34" s="64">
        <v>0</v>
      </c>
      <c r="CP34" s="67">
        <v>0</v>
      </c>
      <c r="CQ34" s="60">
        <v>0</v>
      </c>
    </row>
    <row r="35" spans="2:95">
      <c r="B35" s="61" t="s">
        <v>63</v>
      </c>
      <c r="C35" s="64">
        <v>175</v>
      </c>
      <c r="D35" s="67">
        <v>173</v>
      </c>
      <c r="E35" s="60">
        <v>348</v>
      </c>
      <c r="F35" s="64">
        <v>56</v>
      </c>
      <c r="G35" s="67">
        <v>31</v>
      </c>
      <c r="H35" s="60">
        <v>87</v>
      </c>
      <c r="I35" s="64">
        <v>62</v>
      </c>
      <c r="J35" s="67">
        <v>49</v>
      </c>
      <c r="K35" s="60">
        <v>111</v>
      </c>
      <c r="L35" s="64">
        <v>57</v>
      </c>
      <c r="M35" s="67">
        <v>93</v>
      </c>
      <c r="N35" s="60">
        <v>150</v>
      </c>
      <c r="O35" s="64">
        <v>0</v>
      </c>
      <c r="P35" s="67">
        <v>0</v>
      </c>
      <c r="Q35" s="69"/>
      <c r="R35" s="64">
        <v>0</v>
      </c>
      <c r="S35" s="67">
        <v>0</v>
      </c>
      <c r="T35" s="69"/>
      <c r="U35" s="64">
        <v>0</v>
      </c>
      <c r="V35" s="67">
        <v>0</v>
      </c>
      <c r="W35" s="69"/>
      <c r="X35" s="64">
        <v>67</v>
      </c>
      <c r="Y35" s="67">
        <v>84</v>
      </c>
      <c r="Z35" s="60">
        <v>151</v>
      </c>
      <c r="AA35" s="64">
        <v>31</v>
      </c>
      <c r="AB35" s="67">
        <v>34</v>
      </c>
      <c r="AC35" s="60">
        <v>65</v>
      </c>
      <c r="AD35" s="64">
        <v>25</v>
      </c>
      <c r="AE35" s="67">
        <v>31</v>
      </c>
      <c r="AF35" s="60">
        <v>56</v>
      </c>
      <c r="AG35" s="64">
        <v>11</v>
      </c>
      <c r="AH35" s="67">
        <v>19</v>
      </c>
      <c r="AI35" s="60">
        <v>30</v>
      </c>
      <c r="AJ35" s="64">
        <v>0</v>
      </c>
      <c r="AK35" s="67">
        <v>0</v>
      </c>
      <c r="AL35" s="60">
        <v>0</v>
      </c>
      <c r="AM35" s="64">
        <v>0</v>
      </c>
      <c r="AN35" s="67">
        <v>0</v>
      </c>
      <c r="AO35" s="60">
        <v>0</v>
      </c>
      <c r="AP35" s="64">
        <v>0</v>
      </c>
      <c r="AQ35" s="67">
        <v>0</v>
      </c>
      <c r="AR35" s="60">
        <v>0</v>
      </c>
      <c r="AS35" s="64">
        <v>0</v>
      </c>
      <c r="AT35" s="67">
        <v>0</v>
      </c>
      <c r="AU35" s="60">
        <v>0</v>
      </c>
      <c r="AV35" s="64">
        <v>4754</v>
      </c>
      <c r="AW35" s="67">
        <v>7494</v>
      </c>
      <c r="AX35" s="60">
        <v>12248</v>
      </c>
      <c r="AY35" s="64">
        <v>3125</v>
      </c>
      <c r="AZ35" s="67">
        <v>4447</v>
      </c>
      <c r="BA35" s="60">
        <v>7572</v>
      </c>
      <c r="BB35" s="64">
        <v>1236</v>
      </c>
      <c r="BC35" s="67">
        <v>2036</v>
      </c>
      <c r="BD35" s="60">
        <v>3272</v>
      </c>
      <c r="BE35" s="64">
        <v>393</v>
      </c>
      <c r="BF35" s="67">
        <v>1011</v>
      </c>
      <c r="BG35" s="60">
        <v>1404</v>
      </c>
      <c r="BH35" s="64">
        <v>285</v>
      </c>
      <c r="BI35" s="67">
        <v>337</v>
      </c>
      <c r="BJ35" s="60">
        <v>622</v>
      </c>
      <c r="BK35" s="64">
        <v>144</v>
      </c>
      <c r="BL35" s="67">
        <v>118</v>
      </c>
      <c r="BM35" s="60">
        <v>262</v>
      </c>
      <c r="BN35" s="64">
        <v>84</v>
      </c>
      <c r="BO35" s="67">
        <v>96</v>
      </c>
      <c r="BP35" s="60">
        <v>180</v>
      </c>
      <c r="BQ35" s="64">
        <v>57</v>
      </c>
      <c r="BR35" s="67">
        <v>123</v>
      </c>
      <c r="BS35" s="60">
        <v>180</v>
      </c>
      <c r="BT35" s="64">
        <v>0</v>
      </c>
      <c r="BU35" s="67">
        <v>0</v>
      </c>
      <c r="BV35" s="60">
        <v>0</v>
      </c>
      <c r="BW35" s="64">
        <v>0</v>
      </c>
      <c r="BX35" s="67">
        <v>0</v>
      </c>
      <c r="BY35" s="60">
        <v>0</v>
      </c>
      <c r="BZ35" s="64">
        <v>0</v>
      </c>
      <c r="CA35" s="67">
        <v>0</v>
      </c>
      <c r="CB35" s="60">
        <v>0</v>
      </c>
      <c r="CC35" s="64">
        <v>0</v>
      </c>
      <c r="CD35" s="67">
        <v>0</v>
      </c>
      <c r="CE35" s="60">
        <v>0</v>
      </c>
      <c r="CF35" s="64">
        <v>0</v>
      </c>
      <c r="CG35" s="67">
        <v>0</v>
      </c>
      <c r="CH35" s="60">
        <v>0</v>
      </c>
      <c r="CI35" s="64">
        <v>0</v>
      </c>
      <c r="CJ35" s="67">
        <v>0</v>
      </c>
      <c r="CK35" s="60">
        <v>0</v>
      </c>
      <c r="CL35" s="64">
        <v>0</v>
      </c>
      <c r="CM35" s="67">
        <v>0</v>
      </c>
      <c r="CN35" s="60">
        <v>0</v>
      </c>
      <c r="CO35" s="64">
        <v>0</v>
      </c>
      <c r="CP35" s="67">
        <v>0</v>
      </c>
      <c r="CQ35" s="60">
        <v>0</v>
      </c>
    </row>
    <row r="36" spans="2:95">
      <c r="B36" s="61" t="s">
        <v>62</v>
      </c>
      <c r="C36" s="64">
        <v>0</v>
      </c>
      <c r="D36" s="67">
        <v>0</v>
      </c>
      <c r="E36" s="60">
        <v>0</v>
      </c>
      <c r="F36" s="64">
        <v>0</v>
      </c>
      <c r="G36" s="67">
        <v>0</v>
      </c>
      <c r="H36" s="60">
        <v>0</v>
      </c>
      <c r="I36" s="64">
        <v>0</v>
      </c>
      <c r="J36" s="67">
        <v>0</v>
      </c>
      <c r="K36" s="60">
        <v>0</v>
      </c>
      <c r="L36" s="64">
        <v>0</v>
      </c>
      <c r="M36" s="67">
        <v>0</v>
      </c>
      <c r="N36" s="60">
        <v>0</v>
      </c>
      <c r="O36" s="64"/>
      <c r="P36" s="67"/>
      <c r="Q36" s="69"/>
      <c r="R36" s="64"/>
      <c r="S36" s="67"/>
      <c r="T36" s="69"/>
      <c r="U36" s="64"/>
      <c r="V36" s="67"/>
      <c r="W36" s="69"/>
      <c r="X36" s="64">
        <v>0</v>
      </c>
      <c r="Y36" s="67">
        <v>0</v>
      </c>
      <c r="Z36" s="60">
        <v>0</v>
      </c>
      <c r="AA36" s="64">
        <v>0</v>
      </c>
      <c r="AB36" s="67">
        <v>0</v>
      </c>
      <c r="AC36" s="60">
        <v>0</v>
      </c>
      <c r="AD36" s="64">
        <v>0</v>
      </c>
      <c r="AE36" s="67">
        <v>0</v>
      </c>
      <c r="AF36" s="60">
        <v>0</v>
      </c>
      <c r="AG36" s="64">
        <v>0</v>
      </c>
      <c r="AH36" s="67">
        <v>0</v>
      </c>
      <c r="AI36" s="60">
        <v>0</v>
      </c>
      <c r="AJ36" s="64">
        <v>0</v>
      </c>
      <c r="AK36" s="67">
        <v>0</v>
      </c>
      <c r="AL36" s="60">
        <v>0</v>
      </c>
      <c r="AM36" s="64">
        <v>0</v>
      </c>
      <c r="AN36" s="67">
        <v>0</v>
      </c>
      <c r="AO36" s="60">
        <v>0</v>
      </c>
      <c r="AP36" s="64">
        <v>0</v>
      </c>
      <c r="AQ36" s="67">
        <v>0</v>
      </c>
      <c r="AR36" s="60">
        <v>0</v>
      </c>
      <c r="AS36" s="64">
        <v>0</v>
      </c>
      <c r="AT36" s="67">
        <v>0</v>
      </c>
      <c r="AU36" s="60">
        <v>0</v>
      </c>
      <c r="AV36" s="64">
        <v>8034</v>
      </c>
      <c r="AW36" s="67">
        <v>11512</v>
      </c>
      <c r="AX36" s="60">
        <v>19546</v>
      </c>
      <c r="AY36" s="64">
        <v>5436</v>
      </c>
      <c r="AZ36" s="67">
        <v>7247</v>
      </c>
      <c r="BA36" s="60">
        <v>12683</v>
      </c>
      <c r="BB36" s="64">
        <v>1906</v>
      </c>
      <c r="BC36" s="67">
        <v>2896</v>
      </c>
      <c r="BD36" s="60">
        <v>4802</v>
      </c>
      <c r="BE36" s="64">
        <v>692</v>
      </c>
      <c r="BF36" s="67">
        <v>1369</v>
      </c>
      <c r="BG36" s="60">
        <v>2061</v>
      </c>
      <c r="BH36" s="64">
        <v>451</v>
      </c>
      <c r="BI36" s="67">
        <v>459</v>
      </c>
      <c r="BJ36" s="60">
        <v>910</v>
      </c>
      <c r="BK36" s="64">
        <v>235</v>
      </c>
      <c r="BL36" s="67">
        <v>213</v>
      </c>
      <c r="BM36" s="60">
        <v>448</v>
      </c>
      <c r="BN36" s="64">
        <v>155</v>
      </c>
      <c r="BO36" s="67">
        <v>142</v>
      </c>
      <c r="BP36" s="60">
        <v>297</v>
      </c>
      <c r="BQ36" s="64">
        <v>61</v>
      </c>
      <c r="BR36" s="67">
        <v>104</v>
      </c>
      <c r="BS36" s="60">
        <v>165</v>
      </c>
      <c r="BT36" s="64">
        <v>0</v>
      </c>
      <c r="BU36" s="67">
        <v>0</v>
      </c>
      <c r="BV36" s="60">
        <v>0</v>
      </c>
      <c r="BW36" s="64">
        <v>0</v>
      </c>
      <c r="BX36" s="67">
        <v>0</v>
      </c>
      <c r="BY36" s="60">
        <v>0</v>
      </c>
      <c r="BZ36" s="64">
        <v>0</v>
      </c>
      <c r="CA36" s="67">
        <v>0</v>
      </c>
      <c r="CB36" s="60">
        <v>0</v>
      </c>
      <c r="CC36" s="64">
        <v>0</v>
      </c>
      <c r="CD36" s="67">
        <v>0</v>
      </c>
      <c r="CE36" s="60">
        <v>0</v>
      </c>
      <c r="CF36" s="64">
        <v>0</v>
      </c>
      <c r="CG36" s="67">
        <v>0</v>
      </c>
      <c r="CH36" s="60">
        <v>0</v>
      </c>
      <c r="CI36" s="64">
        <v>0</v>
      </c>
      <c r="CJ36" s="67">
        <v>0</v>
      </c>
      <c r="CK36" s="60">
        <v>0</v>
      </c>
      <c r="CL36" s="64">
        <v>0</v>
      </c>
      <c r="CM36" s="67">
        <v>0</v>
      </c>
      <c r="CN36" s="60">
        <v>0</v>
      </c>
      <c r="CO36" s="64">
        <v>0</v>
      </c>
      <c r="CP36" s="67">
        <v>0</v>
      </c>
      <c r="CQ36" s="60">
        <v>0</v>
      </c>
    </row>
    <row r="37" spans="2:95">
      <c r="B37" s="61" t="s">
        <v>61</v>
      </c>
      <c r="C37" s="64">
        <v>259</v>
      </c>
      <c r="D37" s="67">
        <v>249</v>
      </c>
      <c r="E37" s="60">
        <v>508</v>
      </c>
      <c r="F37" s="64">
        <v>88</v>
      </c>
      <c r="G37" s="67">
        <v>65</v>
      </c>
      <c r="H37" s="60">
        <v>153</v>
      </c>
      <c r="I37" s="64">
        <v>100</v>
      </c>
      <c r="J37" s="67">
        <v>81</v>
      </c>
      <c r="K37" s="60">
        <v>181</v>
      </c>
      <c r="L37" s="64">
        <v>71</v>
      </c>
      <c r="M37" s="67">
        <v>103</v>
      </c>
      <c r="N37" s="60">
        <v>174</v>
      </c>
      <c r="O37" s="64">
        <v>0</v>
      </c>
      <c r="P37" s="67">
        <v>0</v>
      </c>
      <c r="Q37" s="69"/>
      <c r="R37" s="64">
        <v>0</v>
      </c>
      <c r="S37" s="67">
        <v>0</v>
      </c>
      <c r="T37" s="69"/>
      <c r="U37" s="64">
        <v>0</v>
      </c>
      <c r="V37" s="67">
        <v>0</v>
      </c>
      <c r="W37" s="69"/>
      <c r="X37" s="64">
        <v>7</v>
      </c>
      <c r="Y37" s="67">
        <v>14</v>
      </c>
      <c r="Z37" s="60">
        <v>21</v>
      </c>
      <c r="AA37" s="64">
        <v>2</v>
      </c>
      <c r="AB37" s="67">
        <v>4</v>
      </c>
      <c r="AC37" s="60">
        <v>6</v>
      </c>
      <c r="AD37" s="64">
        <v>4</v>
      </c>
      <c r="AE37" s="67">
        <v>5</v>
      </c>
      <c r="AF37" s="60">
        <v>9</v>
      </c>
      <c r="AG37" s="64">
        <v>1</v>
      </c>
      <c r="AH37" s="67">
        <v>5</v>
      </c>
      <c r="AI37" s="60">
        <v>6</v>
      </c>
      <c r="AJ37" s="64">
        <v>7</v>
      </c>
      <c r="AK37" s="67">
        <v>14</v>
      </c>
      <c r="AL37" s="60">
        <v>21</v>
      </c>
      <c r="AM37" s="64">
        <v>2</v>
      </c>
      <c r="AN37" s="67">
        <v>4</v>
      </c>
      <c r="AO37" s="60">
        <v>6</v>
      </c>
      <c r="AP37" s="64">
        <v>4</v>
      </c>
      <c r="AQ37" s="67">
        <v>5</v>
      </c>
      <c r="AR37" s="60">
        <v>9</v>
      </c>
      <c r="AS37" s="64">
        <v>1</v>
      </c>
      <c r="AT37" s="67">
        <v>5</v>
      </c>
      <c r="AU37" s="60">
        <v>6</v>
      </c>
      <c r="AV37" s="64">
        <v>6955</v>
      </c>
      <c r="AW37" s="67">
        <v>10010</v>
      </c>
      <c r="AX37" s="60">
        <v>16965</v>
      </c>
      <c r="AY37" s="64">
        <v>4825</v>
      </c>
      <c r="AZ37" s="67">
        <v>6357</v>
      </c>
      <c r="BA37" s="60">
        <v>11182</v>
      </c>
      <c r="BB37" s="64">
        <v>1614</v>
      </c>
      <c r="BC37" s="67">
        <v>2523</v>
      </c>
      <c r="BD37" s="60">
        <v>4137</v>
      </c>
      <c r="BE37" s="64">
        <v>516</v>
      </c>
      <c r="BF37" s="67">
        <v>1130</v>
      </c>
      <c r="BG37" s="60">
        <v>1646</v>
      </c>
      <c r="BH37" s="64">
        <v>374</v>
      </c>
      <c r="BI37" s="67">
        <v>504</v>
      </c>
      <c r="BJ37" s="60">
        <v>878</v>
      </c>
      <c r="BK37" s="64">
        <v>188</v>
      </c>
      <c r="BL37" s="67">
        <v>198</v>
      </c>
      <c r="BM37" s="60">
        <v>386</v>
      </c>
      <c r="BN37" s="64">
        <v>122</v>
      </c>
      <c r="BO37" s="67">
        <v>187</v>
      </c>
      <c r="BP37" s="60">
        <v>309</v>
      </c>
      <c r="BQ37" s="64">
        <v>64</v>
      </c>
      <c r="BR37" s="67">
        <v>119</v>
      </c>
      <c r="BS37" s="60">
        <v>183</v>
      </c>
      <c r="BT37" s="64">
        <v>0</v>
      </c>
      <c r="BU37" s="67">
        <v>0</v>
      </c>
      <c r="BV37" s="60">
        <v>0</v>
      </c>
      <c r="BW37" s="64">
        <v>0</v>
      </c>
      <c r="BX37" s="67">
        <v>0</v>
      </c>
      <c r="BY37" s="60">
        <v>0</v>
      </c>
      <c r="BZ37" s="64">
        <v>0</v>
      </c>
      <c r="CA37" s="67">
        <v>0</v>
      </c>
      <c r="CB37" s="60">
        <v>0</v>
      </c>
      <c r="CC37" s="64">
        <v>0</v>
      </c>
      <c r="CD37" s="67">
        <v>0</v>
      </c>
      <c r="CE37" s="60">
        <v>0</v>
      </c>
      <c r="CF37" s="64">
        <v>0</v>
      </c>
      <c r="CG37" s="67">
        <v>0</v>
      </c>
      <c r="CH37" s="60">
        <v>0</v>
      </c>
      <c r="CI37" s="64">
        <v>0</v>
      </c>
      <c r="CJ37" s="67">
        <v>0</v>
      </c>
      <c r="CK37" s="60">
        <v>0</v>
      </c>
      <c r="CL37" s="64">
        <v>0</v>
      </c>
      <c r="CM37" s="67">
        <v>0</v>
      </c>
      <c r="CN37" s="60">
        <v>0</v>
      </c>
      <c r="CO37" s="64">
        <v>0</v>
      </c>
      <c r="CP37" s="67">
        <v>0</v>
      </c>
      <c r="CQ37" s="60">
        <v>0</v>
      </c>
    </row>
    <row r="38" spans="2:95">
      <c r="B38" s="61" t="s">
        <v>60</v>
      </c>
      <c r="C38" s="64">
        <v>203</v>
      </c>
      <c r="D38" s="67">
        <v>221</v>
      </c>
      <c r="E38" s="60">
        <v>424</v>
      </c>
      <c r="F38" s="64">
        <v>63</v>
      </c>
      <c r="G38" s="67">
        <v>52</v>
      </c>
      <c r="H38" s="60">
        <v>115</v>
      </c>
      <c r="I38" s="64">
        <v>73</v>
      </c>
      <c r="J38" s="67">
        <v>65</v>
      </c>
      <c r="K38" s="60">
        <v>138</v>
      </c>
      <c r="L38" s="64">
        <v>67</v>
      </c>
      <c r="M38" s="67">
        <v>104</v>
      </c>
      <c r="N38" s="60">
        <v>171</v>
      </c>
      <c r="O38" s="64" t="s">
        <v>447</v>
      </c>
      <c r="P38" s="67" t="s">
        <v>404</v>
      </c>
      <c r="Q38" s="69"/>
      <c r="R38" s="64" t="s">
        <v>98</v>
      </c>
      <c r="S38" s="67" t="s">
        <v>98</v>
      </c>
      <c r="T38" s="69"/>
      <c r="U38" s="64" t="s">
        <v>98</v>
      </c>
      <c r="V38" s="67" t="s">
        <v>98</v>
      </c>
      <c r="W38" s="69"/>
      <c r="X38" s="64">
        <v>21</v>
      </c>
      <c r="Y38" s="67">
        <v>44</v>
      </c>
      <c r="Z38" s="60">
        <v>65</v>
      </c>
      <c r="AA38" s="64">
        <v>8</v>
      </c>
      <c r="AB38" s="67">
        <v>16</v>
      </c>
      <c r="AC38" s="60">
        <v>24</v>
      </c>
      <c r="AD38" s="64">
        <v>3</v>
      </c>
      <c r="AE38" s="67">
        <v>5</v>
      </c>
      <c r="AF38" s="60">
        <v>8</v>
      </c>
      <c r="AG38" s="64">
        <v>10</v>
      </c>
      <c r="AH38" s="67">
        <v>23</v>
      </c>
      <c r="AI38" s="60">
        <v>33</v>
      </c>
      <c r="AJ38" s="64">
        <v>17</v>
      </c>
      <c r="AK38" s="67">
        <v>44</v>
      </c>
      <c r="AL38" s="60">
        <v>61</v>
      </c>
      <c r="AM38" s="64">
        <v>4</v>
      </c>
      <c r="AN38" s="67">
        <v>16</v>
      </c>
      <c r="AO38" s="60">
        <v>20</v>
      </c>
      <c r="AP38" s="64">
        <v>3</v>
      </c>
      <c r="AQ38" s="67">
        <v>5</v>
      </c>
      <c r="AR38" s="60">
        <v>8</v>
      </c>
      <c r="AS38" s="64">
        <v>10</v>
      </c>
      <c r="AT38" s="67">
        <v>23</v>
      </c>
      <c r="AU38" s="60">
        <v>33</v>
      </c>
      <c r="AV38" s="64">
        <v>6589</v>
      </c>
      <c r="AW38" s="67">
        <v>10004</v>
      </c>
      <c r="AX38" s="60">
        <v>16593</v>
      </c>
      <c r="AY38" s="64">
        <v>4783</v>
      </c>
      <c r="AZ38" s="67">
        <v>6150</v>
      </c>
      <c r="BA38" s="60">
        <v>10933</v>
      </c>
      <c r="BB38" s="64">
        <v>1123</v>
      </c>
      <c r="BC38" s="67">
        <v>2615</v>
      </c>
      <c r="BD38" s="60">
        <v>3738</v>
      </c>
      <c r="BE38" s="64">
        <v>683</v>
      </c>
      <c r="BF38" s="67">
        <v>1239</v>
      </c>
      <c r="BG38" s="60">
        <v>1922</v>
      </c>
      <c r="BH38" s="64">
        <v>535</v>
      </c>
      <c r="BI38" s="67">
        <v>611</v>
      </c>
      <c r="BJ38" s="60">
        <v>1146</v>
      </c>
      <c r="BK38" s="64">
        <v>237</v>
      </c>
      <c r="BL38" s="67">
        <v>223</v>
      </c>
      <c r="BM38" s="60">
        <v>460</v>
      </c>
      <c r="BN38" s="64">
        <v>197</v>
      </c>
      <c r="BO38" s="67">
        <v>189</v>
      </c>
      <c r="BP38" s="60">
        <v>386</v>
      </c>
      <c r="BQ38" s="64">
        <v>101</v>
      </c>
      <c r="BR38" s="67">
        <v>199</v>
      </c>
      <c r="BS38" s="60">
        <v>300</v>
      </c>
      <c r="BT38" s="64">
        <v>0</v>
      </c>
      <c r="BU38" s="67">
        <v>0</v>
      </c>
      <c r="BV38" s="60">
        <v>0</v>
      </c>
      <c r="BW38" s="64">
        <v>0</v>
      </c>
      <c r="BX38" s="67">
        <v>0</v>
      </c>
      <c r="BY38" s="60">
        <v>0</v>
      </c>
      <c r="BZ38" s="64">
        <v>0</v>
      </c>
      <c r="CA38" s="67">
        <v>0</v>
      </c>
      <c r="CB38" s="60">
        <v>0</v>
      </c>
      <c r="CC38" s="64">
        <v>0</v>
      </c>
      <c r="CD38" s="67">
        <v>0</v>
      </c>
      <c r="CE38" s="60">
        <v>0</v>
      </c>
      <c r="CF38" s="64">
        <v>0</v>
      </c>
      <c r="CG38" s="67">
        <v>0</v>
      </c>
      <c r="CH38" s="60">
        <v>0</v>
      </c>
      <c r="CI38" s="64">
        <v>0</v>
      </c>
      <c r="CJ38" s="67">
        <v>0</v>
      </c>
      <c r="CK38" s="60">
        <v>0</v>
      </c>
      <c r="CL38" s="64">
        <v>0</v>
      </c>
      <c r="CM38" s="67">
        <v>0</v>
      </c>
      <c r="CN38" s="60">
        <v>0</v>
      </c>
      <c r="CO38" s="64">
        <v>0</v>
      </c>
      <c r="CP38" s="67">
        <v>0</v>
      </c>
      <c r="CQ38" s="60">
        <v>0</v>
      </c>
    </row>
    <row r="39" spans="2:95">
      <c r="B39" s="61" t="s">
        <v>59</v>
      </c>
      <c r="C39" s="64">
        <v>16</v>
      </c>
      <c r="D39" s="67">
        <v>15</v>
      </c>
      <c r="E39" s="60">
        <v>31</v>
      </c>
      <c r="F39" s="64">
        <v>7</v>
      </c>
      <c r="G39" s="67">
        <v>7</v>
      </c>
      <c r="H39" s="60">
        <v>14</v>
      </c>
      <c r="I39" s="64">
        <v>7</v>
      </c>
      <c r="J39" s="67">
        <v>1</v>
      </c>
      <c r="K39" s="60">
        <v>8</v>
      </c>
      <c r="L39" s="64">
        <v>2</v>
      </c>
      <c r="M39" s="67">
        <v>7</v>
      </c>
      <c r="N39" s="60">
        <v>9</v>
      </c>
      <c r="O39" s="64"/>
      <c r="P39" s="67"/>
      <c r="Q39" s="69"/>
      <c r="R39" s="64"/>
      <c r="S39" s="67"/>
      <c r="T39" s="69"/>
      <c r="U39" s="64"/>
      <c r="V39" s="67"/>
      <c r="W39" s="69"/>
      <c r="X39" s="64">
        <v>17</v>
      </c>
      <c r="Y39" s="67">
        <v>46</v>
      </c>
      <c r="Z39" s="60">
        <v>63</v>
      </c>
      <c r="AA39" s="64">
        <v>3</v>
      </c>
      <c r="AB39" s="67">
        <v>14</v>
      </c>
      <c r="AC39" s="60">
        <v>17</v>
      </c>
      <c r="AD39" s="64">
        <v>10</v>
      </c>
      <c r="AE39" s="67">
        <v>17</v>
      </c>
      <c r="AF39" s="60">
        <v>27</v>
      </c>
      <c r="AG39" s="64">
        <v>4</v>
      </c>
      <c r="AH39" s="67">
        <v>15</v>
      </c>
      <c r="AI39" s="60">
        <v>19</v>
      </c>
      <c r="AJ39" s="64">
        <v>17</v>
      </c>
      <c r="AK39" s="67">
        <v>46</v>
      </c>
      <c r="AL39" s="60">
        <v>63</v>
      </c>
      <c r="AM39" s="64">
        <v>3</v>
      </c>
      <c r="AN39" s="67">
        <v>14</v>
      </c>
      <c r="AO39" s="60">
        <v>17</v>
      </c>
      <c r="AP39" s="64">
        <v>10</v>
      </c>
      <c r="AQ39" s="67">
        <v>17</v>
      </c>
      <c r="AR39" s="60">
        <v>27</v>
      </c>
      <c r="AS39" s="64">
        <v>4</v>
      </c>
      <c r="AT39" s="67">
        <v>15</v>
      </c>
      <c r="AU39" s="60">
        <v>19</v>
      </c>
      <c r="AV39" s="64">
        <v>8165</v>
      </c>
      <c r="AW39" s="67">
        <v>11885</v>
      </c>
      <c r="AX39" s="60">
        <v>20050</v>
      </c>
      <c r="AY39" s="64">
        <v>5737</v>
      </c>
      <c r="AZ39" s="67">
        <v>7543</v>
      </c>
      <c r="BA39" s="60">
        <v>13280</v>
      </c>
      <c r="BB39" s="64">
        <v>1877</v>
      </c>
      <c r="BC39" s="67">
        <v>3027</v>
      </c>
      <c r="BD39" s="60">
        <v>4904</v>
      </c>
      <c r="BE39" s="64">
        <v>551</v>
      </c>
      <c r="BF39" s="67">
        <v>1315</v>
      </c>
      <c r="BG39" s="60">
        <v>1866</v>
      </c>
      <c r="BH39" s="64">
        <v>432</v>
      </c>
      <c r="BI39" s="67">
        <v>514</v>
      </c>
      <c r="BJ39" s="60">
        <v>946</v>
      </c>
      <c r="BK39" s="64">
        <v>229</v>
      </c>
      <c r="BL39" s="67">
        <v>192</v>
      </c>
      <c r="BM39" s="60">
        <v>421</v>
      </c>
      <c r="BN39" s="64">
        <v>135</v>
      </c>
      <c r="BO39" s="67">
        <v>169</v>
      </c>
      <c r="BP39" s="60">
        <v>304</v>
      </c>
      <c r="BQ39" s="64">
        <v>68</v>
      </c>
      <c r="BR39" s="67">
        <v>153</v>
      </c>
      <c r="BS39" s="60">
        <v>221</v>
      </c>
      <c r="BT39" s="64">
        <v>0</v>
      </c>
      <c r="BU39" s="67">
        <v>0</v>
      </c>
      <c r="BV39" s="60">
        <v>0</v>
      </c>
      <c r="BW39" s="64">
        <v>0</v>
      </c>
      <c r="BX39" s="67">
        <v>0</v>
      </c>
      <c r="BY39" s="60">
        <v>0</v>
      </c>
      <c r="BZ39" s="64">
        <v>0</v>
      </c>
      <c r="CA39" s="67">
        <v>0</v>
      </c>
      <c r="CB39" s="60">
        <v>0</v>
      </c>
      <c r="CC39" s="64">
        <v>0</v>
      </c>
      <c r="CD39" s="67">
        <v>0</v>
      </c>
      <c r="CE39" s="60">
        <v>0</v>
      </c>
      <c r="CF39" s="64">
        <v>0</v>
      </c>
      <c r="CG39" s="67">
        <v>0</v>
      </c>
      <c r="CH39" s="60">
        <v>0</v>
      </c>
      <c r="CI39" s="64">
        <v>0</v>
      </c>
      <c r="CJ39" s="67">
        <v>0</v>
      </c>
      <c r="CK39" s="60">
        <v>0</v>
      </c>
      <c r="CL39" s="64">
        <v>0</v>
      </c>
      <c r="CM39" s="67">
        <v>0</v>
      </c>
      <c r="CN39" s="60">
        <v>0</v>
      </c>
      <c r="CO39" s="64">
        <v>0</v>
      </c>
      <c r="CP39" s="67">
        <v>0</v>
      </c>
      <c r="CQ39" s="60">
        <v>0</v>
      </c>
    </row>
    <row r="40" spans="2:95">
      <c r="B40" s="61" t="s">
        <v>58</v>
      </c>
      <c r="C40" s="64">
        <v>565</v>
      </c>
      <c r="D40" s="67">
        <v>535</v>
      </c>
      <c r="E40" s="60">
        <v>1100</v>
      </c>
      <c r="F40" s="64">
        <v>195</v>
      </c>
      <c r="G40" s="67">
        <v>116</v>
      </c>
      <c r="H40" s="60">
        <v>311</v>
      </c>
      <c r="I40" s="64">
        <v>181</v>
      </c>
      <c r="J40" s="67">
        <v>160</v>
      </c>
      <c r="K40" s="60">
        <v>341</v>
      </c>
      <c r="L40" s="64">
        <v>189</v>
      </c>
      <c r="M40" s="67">
        <v>259</v>
      </c>
      <c r="N40" s="60">
        <v>448</v>
      </c>
      <c r="O40" s="64"/>
      <c r="P40" s="67"/>
      <c r="Q40" s="69"/>
      <c r="R40" s="64"/>
      <c r="S40" s="67"/>
      <c r="T40" s="69"/>
      <c r="U40" s="64"/>
      <c r="V40" s="67"/>
      <c r="W40" s="69"/>
      <c r="X40" s="64">
        <v>203</v>
      </c>
      <c r="Y40" s="67">
        <v>316</v>
      </c>
      <c r="Z40" s="60">
        <v>519</v>
      </c>
      <c r="AA40" s="64">
        <v>70</v>
      </c>
      <c r="AB40" s="67">
        <v>114</v>
      </c>
      <c r="AC40" s="60">
        <v>184</v>
      </c>
      <c r="AD40" s="64">
        <v>61</v>
      </c>
      <c r="AE40" s="67">
        <v>99</v>
      </c>
      <c r="AF40" s="60">
        <v>160</v>
      </c>
      <c r="AG40" s="64">
        <v>72</v>
      </c>
      <c r="AH40" s="67">
        <v>103</v>
      </c>
      <c r="AI40" s="60">
        <v>175</v>
      </c>
      <c r="AJ40" s="64">
        <v>89</v>
      </c>
      <c r="AK40" s="67">
        <v>136</v>
      </c>
      <c r="AL40" s="60">
        <v>225</v>
      </c>
      <c r="AM40" s="64">
        <v>35</v>
      </c>
      <c r="AN40" s="67">
        <v>42</v>
      </c>
      <c r="AO40" s="60">
        <v>77</v>
      </c>
      <c r="AP40" s="64">
        <v>22</v>
      </c>
      <c r="AQ40" s="67">
        <v>38</v>
      </c>
      <c r="AR40" s="60">
        <v>60</v>
      </c>
      <c r="AS40" s="64">
        <v>32</v>
      </c>
      <c r="AT40" s="67">
        <v>56</v>
      </c>
      <c r="AU40" s="60">
        <v>88</v>
      </c>
      <c r="AV40" s="64">
        <v>8855</v>
      </c>
      <c r="AW40" s="67">
        <v>13424</v>
      </c>
      <c r="AX40" s="60">
        <v>22279</v>
      </c>
      <c r="AY40" s="64">
        <v>5557</v>
      </c>
      <c r="AZ40" s="67">
        <v>7936</v>
      </c>
      <c r="BA40" s="60">
        <v>13493</v>
      </c>
      <c r="BB40" s="64">
        <v>2482</v>
      </c>
      <c r="BC40" s="67">
        <v>3802</v>
      </c>
      <c r="BD40" s="60">
        <v>6284</v>
      </c>
      <c r="BE40" s="64">
        <v>816</v>
      </c>
      <c r="BF40" s="67">
        <v>1686</v>
      </c>
      <c r="BG40" s="60">
        <v>2502</v>
      </c>
      <c r="BH40" s="64">
        <v>469</v>
      </c>
      <c r="BI40" s="67">
        <v>555</v>
      </c>
      <c r="BJ40" s="60">
        <v>1024</v>
      </c>
      <c r="BK40" s="64">
        <v>238</v>
      </c>
      <c r="BL40" s="67">
        <v>200</v>
      </c>
      <c r="BM40" s="60">
        <v>438</v>
      </c>
      <c r="BN40" s="64">
        <v>140</v>
      </c>
      <c r="BO40" s="67">
        <v>187</v>
      </c>
      <c r="BP40" s="60">
        <v>327</v>
      </c>
      <c r="BQ40" s="64">
        <v>91</v>
      </c>
      <c r="BR40" s="67">
        <v>168</v>
      </c>
      <c r="BS40" s="60">
        <v>259</v>
      </c>
      <c r="BT40" s="64">
        <v>0</v>
      </c>
      <c r="BU40" s="67">
        <v>0</v>
      </c>
      <c r="BV40" s="60">
        <v>0</v>
      </c>
      <c r="BW40" s="64">
        <v>0</v>
      </c>
      <c r="BX40" s="67">
        <v>0</v>
      </c>
      <c r="BY40" s="60">
        <v>0</v>
      </c>
      <c r="BZ40" s="64">
        <v>0</v>
      </c>
      <c r="CA40" s="67">
        <v>0</v>
      </c>
      <c r="CB40" s="60">
        <v>0</v>
      </c>
      <c r="CC40" s="64">
        <v>0</v>
      </c>
      <c r="CD40" s="67">
        <v>0</v>
      </c>
      <c r="CE40" s="60">
        <v>0</v>
      </c>
      <c r="CF40" s="64">
        <v>0</v>
      </c>
      <c r="CG40" s="67">
        <v>0</v>
      </c>
      <c r="CH40" s="60">
        <v>0</v>
      </c>
      <c r="CI40" s="64">
        <v>0</v>
      </c>
      <c r="CJ40" s="67">
        <v>0</v>
      </c>
      <c r="CK40" s="60">
        <v>0</v>
      </c>
      <c r="CL40" s="64">
        <v>0</v>
      </c>
      <c r="CM40" s="67">
        <v>0</v>
      </c>
      <c r="CN40" s="60">
        <v>0</v>
      </c>
      <c r="CO40" s="64">
        <v>0</v>
      </c>
      <c r="CP40" s="67">
        <v>0</v>
      </c>
      <c r="CQ40" s="60">
        <v>0</v>
      </c>
    </row>
    <row r="41" spans="2:95">
      <c r="B41" s="61" t="s">
        <v>57</v>
      </c>
      <c r="C41" s="64">
        <v>731</v>
      </c>
      <c r="D41" s="67">
        <v>641</v>
      </c>
      <c r="E41" s="60">
        <v>1372</v>
      </c>
      <c r="F41" s="64">
        <v>0</v>
      </c>
      <c r="G41" s="67">
        <v>0</v>
      </c>
      <c r="H41" s="60">
        <v>0</v>
      </c>
      <c r="I41" s="64">
        <v>0</v>
      </c>
      <c r="J41" s="67">
        <v>0</v>
      </c>
      <c r="K41" s="60">
        <v>0</v>
      </c>
      <c r="L41" s="64">
        <v>0</v>
      </c>
      <c r="M41" s="67">
        <v>0</v>
      </c>
      <c r="N41" s="60">
        <v>0</v>
      </c>
      <c r="O41" s="64"/>
      <c r="P41" s="67"/>
      <c r="Q41" s="69"/>
      <c r="R41" s="64"/>
      <c r="S41" s="67"/>
      <c r="T41" s="69"/>
      <c r="U41" s="64"/>
      <c r="V41" s="67"/>
      <c r="W41" s="69"/>
      <c r="X41" s="64">
        <v>84</v>
      </c>
      <c r="Y41" s="67">
        <v>170</v>
      </c>
      <c r="Z41" s="60">
        <v>254</v>
      </c>
      <c r="AA41" s="64">
        <v>27</v>
      </c>
      <c r="AB41" s="67">
        <v>35</v>
      </c>
      <c r="AC41" s="60">
        <v>62</v>
      </c>
      <c r="AD41" s="64">
        <v>33</v>
      </c>
      <c r="AE41" s="67">
        <v>50</v>
      </c>
      <c r="AF41" s="60">
        <v>83</v>
      </c>
      <c r="AG41" s="64">
        <v>24</v>
      </c>
      <c r="AH41" s="67">
        <v>85</v>
      </c>
      <c r="AI41" s="60">
        <v>109</v>
      </c>
      <c r="AJ41" s="64">
        <v>82</v>
      </c>
      <c r="AK41" s="67">
        <v>165</v>
      </c>
      <c r="AL41" s="60">
        <v>247</v>
      </c>
      <c r="AM41" s="64">
        <v>27</v>
      </c>
      <c r="AN41" s="67">
        <v>35</v>
      </c>
      <c r="AO41" s="60">
        <v>62</v>
      </c>
      <c r="AP41" s="64">
        <v>32</v>
      </c>
      <c r="AQ41" s="67">
        <v>48</v>
      </c>
      <c r="AR41" s="60">
        <v>80</v>
      </c>
      <c r="AS41" s="64">
        <v>23</v>
      </c>
      <c r="AT41" s="67">
        <v>82</v>
      </c>
      <c r="AU41" s="60">
        <v>105</v>
      </c>
      <c r="AV41" s="64">
        <v>0</v>
      </c>
      <c r="AW41" s="67">
        <v>0</v>
      </c>
      <c r="AX41" s="60">
        <v>19877</v>
      </c>
      <c r="AY41" s="64">
        <v>0</v>
      </c>
      <c r="AZ41" s="67">
        <v>0</v>
      </c>
      <c r="BA41" s="60">
        <v>11776</v>
      </c>
      <c r="BB41" s="64">
        <v>0</v>
      </c>
      <c r="BC41" s="67">
        <v>0</v>
      </c>
      <c r="BD41" s="60">
        <v>5410</v>
      </c>
      <c r="BE41" s="64">
        <v>0</v>
      </c>
      <c r="BF41" s="67">
        <v>0</v>
      </c>
      <c r="BG41" s="60">
        <v>2691</v>
      </c>
      <c r="BH41" s="64">
        <v>0</v>
      </c>
      <c r="BI41" s="67">
        <v>0</v>
      </c>
      <c r="BJ41" s="60">
        <v>1249</v>
      </c>
      <c r="BK41" s="64">
        <v>0</v>
      </c>
      <c r="BL41" s="67">
        <v>0</v>
      </c>
      <c r="BM41" s="60">
        <v>508</v>
      </c>
      <c r="BN41" s="64">
        <v>0</v>
      </c>
      <c r="BO41" s="67">
        <v>0</v>
      </c>
      <c r="BP41" s="60">
        <v>419</v>
      </c>
      <c r="BQ41" s="64">
        <v>0</v>
      </c>
      <c r="BR41" s="67">
        <v>0</v>
      </c>
      <c r="BS41" s="60">
        <v>322</v>
      </c>
      <c r="BT41" s="64">
        <v>0</v>
      </c>
      <c r="BU41" s="67">
        <v>0</v>
      </c>
      <c r="BV41" s="60">
        <v>0</v>
      </c>
      <c r="BW41" s="64">
        <v>0</v>
      </c>
      <c r="BX41" s="67">
        <v>0</v>
      </c>
      <c r="BY41" s="60">
        <v>0</v>
      </c>
      <c r="BZ41" s="64">
        <v>0</v>
      </c>
      <c r="CA41" s="67">
        <v>0</v>
      </c>
      <c r="CB41" s="60">
        <v>0</v>
      </c>
      <c r="CC41" s="64">
        <v>0</v>
      </c>
      <c r="CD41" s="67">
        <v>0</v>
      </c>
      <c r="CE41" s="60">
        <v>0</v>
      </c>
      <c r="CF41" s="64">
        <v>0</v>
      </c>
      <c r="CG41" s="67">
        <v>0</v>
      </c>
      <c r="CH41" s="60">
        <v>0</v>
      </c>
      <c r="CI41" s="64">
        <v>0</v>
      </c>
      <c r="CJ41" s="67">
        <v>0</v>
      </c>
      <c r="CK41" s="60">
        <v>0</v>
      </c>
      <c r="CL41" s="64">
        <v>0</v>
      </c>
      <c r="CM41" s="67">
        <v>0</v>
      </c>
      <c r="CN41" s="60">
        <v>0</v>
      </c>
      <c r="CO41" s="64">
        <v>0</v>
      </c>
      <c r="CP41" s="67">
        <v>0</v>
      </c>
      <c r="CQ41" s="60">
        <v>0</v>
      </c>
    </row>
    <row r="42" spans="2:95">
      <c r="B42" s="61" t="s">
        <v>56</v>
      </c>
      <c r="C42" s="64">
        <v>393</v>
      </c>
      <c r="D42" s="67">
        <v>372</v>
      </c>
      <c r="E42" s="60">
        <v>765</v>
      </c>
      <c r="F42" s="64">
        <v>117</v>
      </c>
      <c r="G42" s="67">
        <v>111</v>
      </c>
      <c r="H42" s="60">
        <v>228</v>
      </c>
      <c r="I42" s="64">
        <v>134</v>
      </c>
      <c r="J42" s="67">
        <v>126</v>
      </c>
      <c r="K42" s="60">
        <v>260</v>
      </c>
      <c r="L42" s="64">
        <v>142</v>
      </c>
      <c r="M42" s="67">
        <v>135</v>
      </c>
      <c r="N42" s="60">
        <v>277</v>
      </c>
      <c r="O42" s="64"/>
      <c r="P42" s="67"/>
      <c r="Q42" s="69"/>
      <c r="R42" s="64"/>
      <c r="S42" s="67"/>
      <c r="T42" s="69"/>
      <c r="U42" s="64"/>
      <c r="V42" s="67"/>
      <c r="W42" s="69"/>
      <c r="X42" s="64">
        <v>26</v>
      </c>
      <c r="Y42" s="67">
        <v>63</v>
      </c>
      <c r="Z42" s="60">
        <v>89</v>
      </c>
      <c r="AA42" s="64">
        <v>9</v>
      </c>
      <c r="AB42" s="67">
        <v>15</v>
      </c>
      <c r="AC42" s="60">
        <v>24</v>
      </c>
      <c r="AD42" s="64">
        <v>8</v>
      </c>
      <c r="AE42" s="67">
        <v>21</v>
      </c>
      <c r="AF42" s="60">
        <v>29</v>
      </c>
      <c r="AG42" s="64">
        <v>9</v>
      </c>
      <c r="AH42" s="67">
        <v>27</v>
      </c>
      <c r="AI42" s="60">
        <v>36</v>
      </c>
      <c r="AJ42" s="64">
        <v>26</v>
      </c>
      <c r="AK42" s="67">
        <v>57</v>
      </c>
      <c r="AL42" s="60">
        <v>83</v>
      </c>
      <c r="AM42" s="64">
        <v>9</v>
      </c>
      <c r="AN42" s="67">
        <v>12</v>
      </c>
      <c r="AO42" s="60">
        <v>21</v>
      </c>
      <c r="AP42" s="64">
        <v>8</v>
      </c>
      <c r="AQ42" s="67">
        <v>18</v>
      </c>
      <c r="AR42" s="60">
        <v>26</v>
      </c>
      <c r="AS42" s="64">
        <v>9</v>
      </c>
      <c r="AT42" s="67">
        <v>27</v>
      </c>
      <c r="AU42" s="60">
        <v>36</v>
      </c>
      <c r="AV42" s="64">
        <v>5209</v>
      </c>
      <c r="AW42" s="67">
        <v>8140</v>
      </c>
      <c r="AX42" s="60">
        <v>13349</v>
      </c>
      <c r="AY42" s="64">
        <v>3259</v>
      </c>
      <c r="AZ42" s="67">
        <v>4575</v>
      </c>
      <c r="BA42" s="60">
        <v>7834</v>
      </c>
      <c r="BB42" s="64">
        <v>1438</v>
      </c>
      <c r="BC42" s="67">
        <v>2300</v>
      </c>
      <c r="BD42" s="60">
        <v>3738</v>
      </c>
      <c r="BE42" s="64">
        <v>512</v>
      </c>
      <c r="BF42" s="67">
        <v>1265</v>
      </c>
      <c r="BG42" s="60">
        <v>1777</v>
      </c>
      <c r="BH42" s="64">
        <v>319</v>
      </c>
      <c r="BI42" s="67">
        <v>353</v>
      </c>
      <c r="BJ42" s="60">
        <v>672</v>
      </c>
      <c r="BK42" s="64">
        <v>164</v>
      </c>
      <c r="BL42" s="67">
        <v>123</v>
      </c>
      <c r="BM42" s="60">
        <v>287</v>
      </c>
      <c r="BN42" s="64">
        <v>96</v>
      </c>
      <c r="BO42" s="67">
        <v>112</v>
      </c>
      <c r="BP42" s="60">
        <v>208</v>
      </c>
      <c r="BQ42" s="64">
        <v>59</v>
      </c>
      <c r="BR42" s="67">
        <v>118</v>
      </c>
      <c r="BS42" s="60">
        <v>177</v>
      </c>
      <c r="BT42" s="64">
        <v>0</v>
      </c>
      <c r="BU42" s="67">
        <v>0</v>
      </c>
      <c r="BV42" s="60">
        <v>0</v>
      </c>
      <c r="BW42" s="64">
        <v>0</v>
      </c>
      <c r="BX42" s="67">
        <v>0</v>
      </c>
      <c r="BY42" s="60">
        <v>0</v>
      </c>
      <c r="BZ42" s="64">
        <v>0</v>
      </c>
      <c r="CA42" s="67">
        <v>0</v>
      </c>
      <c r="CB42" s="60">
        <v>0</v>
      </c>
      <c r="CC42" s="64">
        <v>0</v>
      </c>
      <c r="CD42" s="67">
        <v>0</v>
      </c>
      <c r="CE42" s="60">
        <v>0</v>
      </c>
      <c r="CF42" s="64">
        <v>0</v>
      </c>
      <c r="CG42" s="67">
        <v>0</v>
      </c>
      <c r="CH42" s="60">
        <v>0</v>
      </c>
      <c r="CI42" s="64">
        <v>0</v>
      </c>
      <c r="CJ42" s="67">
        <v>0</v>
      </c>
      <c r="CK42" s="60">
        <v>0</v>
      </c>
      <c r="CL42" s="64">
        <v>0</v>
      </c>
      <c r="CM42" s="67">
        <v>0</v>
      </c>
      <c r="CN42" s="60">
        <v>0</v>
      </c>
      <c r="CO42" s="64">
        <v>0</v>
      </c>
      <c r="CP42" s="67">
        <v>0</v>
      </c>
      <c r="CQ42" s="60">
        <v>0</v>
      </c>
    </row>
    <row r="43" spans="2:95">
      <c r="B43" s="61" t="s">
        <v>55</v>
      </c>
      <c r="C43" s="64">
        <v>108</v>
      </c>
      <c r="D43" s="67">
        <v>91</v>
      </c>
      <c r="E43" s="60">
        <v>199</v>
      </c>
      <c r="F43" s="64">
        <v>35</v>
      </c>
      <c r="G43" s="67">
        <v>16</v>
      </c>
      <c r="H43" s="60">
        <v>51</v>
      </c>
      <c r="I43" s="64">
        <v>32</v>
      </c>
      <c r="J43" s="67">
        <v>26</v>
      </c>
      <c r="K43" s="60">
        <v>58</v>
      </c>
      <c r="L43" s="64">
        <v>41</v>
      </c>
      <c r="M43" s="67">
        <v>49</v>
      </c>
      <c r="N43" s="60">
        <v>90</v>
      </c>
      <c r="O43" s="64"/>
      <c r="P43" s="67"/>
      <c r="Q43" s="69"/>
      <c r="R43" s="64"/>
      <c r="S43" s="67"/>
      <c r="T43" s="69"/>
      <c r="U43" s="64"/>
      <c r="V43" s="67"/>
      <c r="W43" s="69"/>
      <c r="X43" s="64">
        <v>310</v>
      </c>
      <c r="Y43" s="67">
        <v>0</v>
      </c>
      <c r="Z43" s="60">
        <v>310</v>
      </c>
      <c r="AA43" s="64">
        <v>310</v>
      </c>
      <c r="AB43" s="67">
        <v>0</v>
      </c>
      <c r="AC43" s="60">
        <v>310</v>
      </c>
      <c r="AD43" s="64">
        <v>0</v>
      </c>
      <c r="AE43" s="67">
        <v>0</v>
      </c>
      <c r="AF43" s="60">
        <v>0</v>
      </c>
      <c r="AG43" s="64">
        <v>0</v>
      </c>
      <c r="AH43" s="67">
        <v>0</v>
      </c>
      <c r="AI43" s="60">
        <v>0</v>
      </c>
      <c r="AJ43" s="64">
        <v>230</v>
      </c>
      <c r="AK43" s="67">
        <v>0</v>
      </c>
      <c r="AL43" s="60">
        <v>230</v>
      </c>
      <c r="AM43" s="64">
        <v>230</v>
      </c>
      <c r="AN43" s="67">
        <v>0</v>
      </c>
      <c r="AO43" s="60">
        <v>230</v>
      </c>
      <c r="AP43" s="64">
        <v>0</v>
      </c>
      <c r="AQ43" s="67">
        <v>0</v>
      </c>
      <c r="AR43" s="60">
        <v>0</v>
      </c>
      <c r="AS43" s="64">
        <v>0</v>
      </c>
      <c r="AT43" s="67">
        <v>0</v>
      </c>
      <c r="AU43" s="60">
        <v>0</v>
      </c>
      <c r="AV43" s="64">
        <v>10401</v>
      </c>
      <c r="AW43" s="67">
        <v>15668</v>
      </c>
      <c r="AX43" s="60">
        <v>26069</v>
      </c>
      <c r="AY43" s="64">
        <v>6410</v>
      </c>
      <c r="AZ43" s="67">
        <v>8714</v>
      </c>
      <c r="BA43" s="60">
        <v>15124</v>
      </c>
      <c r="BB43" s="64">
        <v>2919</v>
      </c>
      <c r="BC43" s="67">
        <v>4598</v>
      </c>
      <c r="BD43" s="60">
        <v>7517</v>
      </c>
      <c r="BE43" s="64">
        <v>1072</v>
      </c>
      <c r="BF43" s="67">
        <v>2356</v>
      </c>
      <c r="BG43" s="60">
        <v>3428</v>
      </c>
      <c r="BH43" s="64">
        <v>637</v>
      </c>
      <c r="BI43" s="67">
        <v>671</v>
      </c>
      <c r="BJ43" s="60">
        <v>1308</v>
      </c>
      <c r="BK43" s="64">
        <v>313</v>
      </c>
      <c r="BL43" s="67">
        <v>241</v>
      </c>
      <c r="BM43" s="60">
        <v>554</v>
      </c>
      <c r="BN43" s="64">
        <v>214</v>
      </c>
      <c r="BO43" s="67">
        <v>233</v>
      </c>
      <c r="BP43" s="60">
        <v>447</v>
      </c>
      <c r="BQ43" s="64">
        <v>110</v>
      </c>
      <c r="BR43" s="67">
        <v>197</v>
      </c>
      <c r="BS43" s="60">
        <v>307</v>
      </c>
      <c r="BT43" s="64">
        <v>0</v>
      </c>
      <c r="BU43" s="67">
        <v>0</v>
      </c>
      <c r="BV43" s="60">
        <v>0</v>
      </c>
      <c r="BW43" s="64">
        <v>0</v>
      </c>
      <c r="BX43" s="67">
        <v>0</v>
      </c>
      <c r="BY43" s="60">
        <v>0</v>
      </c>
      <c r="BZ43" s="64">
        <v>0</v>
      </c>
      <c r="CA43" s="67">
        <v>0</v>
      </c>
      <c r="CB43" s="60">
        <v>0</v>
      </c>
      <c r="CC43" s="64">
        <v>0</v>
      </c>
      <c r="CD43" s="67">
        <v>0</v>
      </c>
      <c r="CE43" s="60">
        <v>0</v>
      </c>
      <c r="CF43" s="64">
        <v>0</v>
      </c>
      <c r="CG43" s="67">
        <v>0</v>
      </c>
      <c r="CH43" s="60">
        <v>0</v>
      </c>
      <c r="CI43" s="64">
        <v>0</v>
      </c>
      <c r="CJ43" s="67">
        <v>0</v>
      </c>
      <c r="CK43" s="60">
        <v>0</v>
      </c>
      <c r="CL43" s="64">
        <v>0</v>
      </c>
      <c r="CM43" s="67">
        <v>0</v>
      </c>
      <c r="CN43" s="60">
        <v>0</v>
      </c>
      <c r="CO43" s="64">
        <v>0</v>
      </c>
      <c r="CP43" s="67">
        <v>0</v>
      </c>
      <c r="CQ43" s="60">
        <v>0</v>
      </c>
    </row>
    <row r="44" spans="2:95">
      <c r="B44" s="61" t="s">
        <v>54</v>
      </c>
      <c r="C44" s="64">
        <v>84</v>
      </c>
      <c r="D44" s="67">
        <v>48</v>
      </c>
      <c r="E44" s="60">
        <v>132</v>
      </c>
      <c r="F44" s="64">
        <v>32</v>
      </c>
      <c r="G44" s="67">
        <v>25</v>
      </c>
      <c r="H44" s="60">
        <v>57</v>
      </c>
      <c r="I44" s="64">
        <v>25</v>
      </c>
      <c r="J44" s="67">
        <v>15</v>
      </c>
      <c r="K44" s="60">
        <v>40</v>
      </c>
      <c r="L44" s="64">
        <v>27</v>
      </c>
      <c r="M44" s="67">
        <v>8</v>
      </c>
      <c r="N44" s="60">
        <v>35</v>
      </c>
      <c r="O44" s="64">
        <v>0</v>
      </c>
      <c r="P44" s="67">
        <v>0</v>
      </c>
      <c r="Q44" s="69"/>
      <c r="R44" s="64">
        <v>0</v>
      </c>
      <c r="S44" s="67">
        <v>0</v>
      </c>
      <c r="T44" s="69"/>
      <c r="U44" s="64">
        <v>0</v>
      </c>
      <c r="V44" s="67">
        <v>0</v>
      </c>
      <c r="W44" s="69"/>
      <c r="X44" s="64">
        <v>4</v>
      </c>
      <c r="Y44" s="67">
        <v>4</v>
      </c>
      <c r="Z44" s="60">
        <v>8</v>
      </c>
      <c r="AA44" s="64">
        <v>1</v>
      </c>
      <c r="AB44" s="67">
        <v>1</v>
      </c>
      <c r="AC44" s="60">
        <v>2</v>
      </c>
      <c r="AD44" s="64">
        <v>2</v>
      </c>
      <c r="AE44" s="67">
        <v>2</v>
      </c>
      <c r="AF44" s="60">
        <v>4</v>
      </c>
      <c r="AG44" s="64">
        <v>1</v>
      </c>
      <c r="AH44" s="67">
        <v>1</v>
      </c>
      <c r="AI44" s="60">
        <v>2</v>
      </c>
      <c r="AJ44" s="64">
        <v>6</v>
      </c>
      <c r="AK44" s="67">
        <v>7</v>
      </c>
      <c r="AL44" s="60">
        <v>13</v>
      </c>
      <c r="AM44" s="64">
        <v>2</v>
      </c>
      <c r="AN44" s="67">
        <v>2</v>
      </c>
      <c r="AO44" s="60">
        <v>4</v>
      </c>
      <c r="AP44" s="64">
        <v>2</v>
      </c>
      <c r="AQ44" s="67">
        <v>2</v>
      </c>
      <c r="AR44" s="60">
        <v>4</v>
      </c>
      <c r="AS44" s="64">
        <v>2</v>
      </c>
      <c r="AT44" s="67">
        <v>3</v>
      </c>
      <c r="AU44" s="60">
        <v>5</v>
      </c>
      <c r="AV44" s="64">
        <v>5607</v>
      </c>
      <c r="AW44" s="67">
        <v>6686</v>
      </c>
      <c r="AX44" s="60">
        <v>12293</v>
      </c>
      <c r="AY44" s="64">
        <v>2894</v>
      </c>
      <c r="AZ44" s="67">
        <v>3125</v>
      </c>
      <c r="BA44" s="60">
        <v>6019</v>
      </c>
      <c r="BB44" s="64">
        <v>1568</v>
      </c>
      <c r="BC44" s="67">
        <v>1982</v>
      </c>
      <c r="BD44" s="60">
        <v>3550</v>
      </c>
      <c r="BE44" s="64">
        <v>1145</v>
      </c>
      <c r="BF44" s="67">
        <v>1579</v>
      </c>
      <c r="BG44" s="60">
        <v>2724</v>
      </c>
      <c r="BH44" s="64">
        <v>12</v>
      </c>
      <c r="BI44" s="67">
        <v>32</v>
      </c>
      <c r="BJ44" s="60">
        <v>44</v>
      </c>
      <c r="BK44" s="64">
        <v>3</v>
      </c>
      <c r="BL44" s="67">
        <v>9</v>
      </c>
      <c r="BM44" s="60">
        <v>12</v>
      </c>
      <c r="BN44" s="64">
        <v>6</v>
      </c>
      <c r="BO44" s="67">
        <v>12</v>
      </c>
      <c r="BP44" s="60">
        <v>18</v>
      </c>
      <c r="BQ44" s="64">
        <v>3</v>
      </c>
      <c r="BR44" s="67">
        <v>11</v>
      </c>
      <c r="BS44" s="60">
        <v>14</v>
      </c>
      <c r="BT44" s="64">
        <v>0</v>
      </c>
      <c r="BU44" s="67">
        <v>0</v>
      </c>
      <c r="BV44" s="60">
        <v>0</v>
      </c>
      <c r="BW44" s="64">
        <v>0</v>
      </c>
      <c r="BX44" s="67">
        <v>0</v>
      </c>
      <c r="BY44" s="60">
        <v>0</v>
      </c>
      <c r="BZ44" s="64">
        <v>0</v>
      </c>
      <c r="CA44" s="67">
        <v>0</v>
      </c>
      <c r="CB44" s="60">
        <v>0</v>
      </c>
      <c r="CC44" s="64">
        <v>0</v>
      </c>
      <c r="CD44" s="67">
        <v>0</v>
      </c>
      <c r="CE44" s="60">
        <v>0</v>
      </c>
      <c r="CF44" s="64">
        <v>0</v>
      </c>
      <c r="CG44" s="67">
        <v>0</v>
      </c>
      <c r="CH44" s="60">
        <v>0</v>
      </c>
      <c r="CI44" s="64">
        <v>0</v>
      </c>
      <c r="CJ44" s="67">
        <v>0</v>
      </c>
      <c r="CK44" s="60">
        <v>0</v>
      </c>
      <c r="CL44" s="64">
        <v>0</v>
      </c>
      <c r="CM44" s="67">
        <v>0</v>
      </c>
      <c r="CN44" s="60">
        <v>0</v>
      </c>
      <c r="CO44" s="64">
        <v>0</v>
      </c>
      <c r="CP44" s="67">
        <v>0</v>
      </c>
      <c r="CQ44" s="60">
        <v>0</v>
      </c>
    </row>
    <row r="45" spans="2:95">
      <c r="B45" s="61" t="s">
        <v>53</v>
      </c>
      <c r="C45" s="64">
        <v>185</v>
      </c>
      <c r="D45" s="67">
        <v>239</v>
      </c>
      <c r="E45" s="60">
        <v>424</v>
      </c>
      <c r="F45" s="64">
        <v>62</v>
      </c>
      <c r="G45" s="67">
        <v>43</v>
      </c>
      <c r="H45" s="60">
        <v>105</v>
      </c>
      <c r="I45" s="64">
        <v>52</v>
      </c>
      <c r="J45" s="67">
        <v>66</v>
      </c>
      <c r="K45" s="60">
        <v>118</v>
      </c>
      <c r="L45" s="64">
        <v>71</v>
      </c>
      <c r="M45" s="67">
        <v>130</v>
      </c>
      <c r="N45" s="60">
        <v>201</v>
      </c>
      <c r="O45" s="64"/>
      <c r="P45" s="67"/>
      <c r="Q45" s="69"/>
      <c r="R45" s="64"/>
      <c r="S45" s="67"/>
      <c r="T45" s="69"/>
      <c r="U45" s="64"/>
      <c r="V45" s="67"/>
      <c r="W45" s="69"/>
      <c r="X45" s="64">
        <v>15</v>
      </c>
      <c r="Y45" s="67">
        <v>22</v>
      </c>
      <c r="Z45" s="60">
        <v>37</v>
      </c>
      <c r="AA45" s="64">
        <v>2</v>
      </c>
      <c r="AB45" s="67">
        <v>3</v>
      </c>
      <c r="AC45" s="60">
        <v>5</v>
      </c>
      <c r="AD45" s="64">
        <v>6</v>
      </c>
      <c r="AE45" s="67">
        <v>7</v>
      </c>
      <c r="AF45" s="60">
        <v>13</v>
      </c>
      <c r="AG45" s="64">
        <v>7</v>
      </c>
      <c r="AH45" s="67">
        <v>12</v>
      </c>
      <c r="AI45" s="60">
        <v>19</v>
      </c>
      <c r="AJ45" s="64">
        <v>1</v>
      </c>
      <c r="AK45" s="67">
        <v>2</v>
      </c>
      <c r="AL45" s="60">
        <v>3</v>
      </c>
      <c r="AM45" s="64">
        <v>0</v>
      </c>
      <c r="AN45" s="67">
        <v>2</v>
      </c>
      <c r="AO45" s="60">
        <v>2</v>
      </c>
      <c r="AP45" s="64">
        <v>1</v>
      </c>
      <c r="AQ45" s="67">
        <v>0</v>
      </c>
      <c r="AR45" s="60">
        <v>1</v>
      </c>
      <c r="AS45" s="64">
        <v>0</v>
      </c>
      <c r="AT45" s="67">
        <v>0</v>
      </c>
      <c r="AU45" s="60">
        <v>0</v>
      </c>
      <c r="AV45" s="64">
        <v>7228</v>
      </c>
      <c r="AW45" s="67">
        <v>11911</v>
      </c>
      <c r="AX45" s="60">
        <v>19139</v>
      </c>
      <c r="AY45" s="64">
        <v>4524</v>
      </c>
      <c r="AZ45" s="67">
        <v>6609</v>
      </c>
      <c r="BA45" s="60">
        <v>11133</v>
      </c>
      <c r="BB45" s="64">
        <v>1952</v>
      </c>
      <c r="BC45" s="67">
        <v>3297</v>
      </c>
      <c r="BD45" s="60">
        <v>5249</v>
      </c>
      <c r="BE45" s="64">
        <v>752</v>
      </c>
      <c r="BF45" s="67">
        <v>2005</v>
      </c>
      <c r="BG45" s="60">
        <v>2757</v>
      </c>
      <c r="BH45" s="64">
        <v>549</v>
      </c>
      <c r="BI45" s="67">
        <v>732</v>
      </c>
      <c r="BJ45" s="60">
        <v>1281</v>
      </c>
      <c r="BK45" s="64">
        <v>236</v>
      </c>
      <c r="BL45" s="67">
        <v>243</v>
      </c>
      <c r="BM45" s="60">
        <v>479</v>
      </c>
      <c r="BN45" s="64">
        <v>185</v>
      </c>
      <c r="BO45" s="67">
        <v>234</v>
      </c>
      <c r="BP45" s="60">
        <v>419</v>
      </c>
      <c r="BQ45" s="64">
        <v>128</v>
      </c>
      <c r="BR45" s="67">
        <v>255</v>
      </c>
      <c r="BS45" s="60">
        <v>383</v>
      </c>
      <c r="BT45" s="64">
        <v>0</v>
      </c>
      <c r="BU45" s="67">
        <v>0</v>
      </c>
      <c r="BV45" s="60">
        <v>0</v>
      </c>
      <c r="BW45" s="64">
        <v>0</v>
      </c>
      <c r="BX45" s="67">
        <v>0</v>
      </c>
      <c r="BY45" s="60">
        <v>0</v>
      </c>
      <c r="BZ45" s="64">
        <v>0</v>
      </c>
      <c r="CA45" s="67">
        <v>0</v>
      </c>
      <c r="CB45" s="60">
        <v>0</v>
      </c>
      <c r="CC45" s="64">
        <v>0</v>
      </c>
      <c r="CD45" s="67">
        <v>0</v>
      </c>
      <c r="CE45" s="60">
        <v>0</v>
      </c>
      <c r="CF45" s="64">
        <v>0</v>
      </c>
      <c r="CG45" s="67">
        <v>0</v>
      </c>
      <c r="CH45" s="60">
        <v>0</v>
      </c>
      <c r="CI45" s="64">
        <v>0</v>
      </c>
      <c r="CJ45" s="67">
        <v>0</v>
      </c>
      <c r="CK45" s="60">
        <v>0</v>
      </c>
      <c r="CL45" s="64">
        <v>0</v>
      </c>
      <c r="CM45" s="67">
        <v>0</v>
      </c>
      <c r="CN45" s="60">
        <v>0</v>
      </c>
      <c r="CO45" s="64">
        <v>0</v>
      </c>
      <c r="CP45" s="67">
        <v>0</v>
      </c>
      <c r="CQ45" s="60">
        <v>0</v>
      </c>
    </row>
    <row r="46" spans="2:95">
      <c r="B46" s="61" t="s">
        <v>52</v>
      </c>
      <c r="C46" s="64">
        <v>370</v>
      </c>
      <c r="D46" s="67">
        <v>217</v>
      </c>
      <c r="E46" s="60">
        <v>587</v>
      </c>
      <c r="F46" s="64">
        <v>79</v>
      </c>
      <c r="G46" s="67">
        <v>35</v>
      </c>
      <c r="H46" s="60">
        <v>114</v>
      </c>
      <c r="I46" s="64">
        <v>110</v>
      </c>
      <c r="J46" s="67">
        <v>65</v>
      </c>
      <c r="K46" s="60">
        <v>175</v>
      </c>
      <c r="L46" s="64">
        <v>181</v>
      </c>
      <c r="M46" s="67">
        <v>117</v>
      </c>
      <c r="N46" s="60">
        <v>298</v>
      </c>
      <c r="O46" s="64"/>
      <c r="P46" s="67"/>
      <c r="Q46" s="69"/>
      <c r="R46" s="64"/>
      <c r="S46" s="67"/>
      <c r="T46" s="69"/>
      <c r="U46" s="64"/>
      <c r="V46" s="67"/>
      <c r="W46" s="69"/>
      <c r="X46" s="64">
        <v>91</v>
      </c>
      <c r="Y46" s="67">
        <v>113</v>
      </c>
      <c r="Z46" s="60">
        <v>204</v>
      </c>
      <c r="AA46" s="64">
        <v>32</v>
      </c>
      <c r="AB46" s="67">
        <v>46</v>
      </c>
      <c r="AC46" s="60">
        <v>78</v>
      </c>
      <c r="AD46" s="64">
        <v>36</v>
      </c>
      <c r="AE46" s="67">
        <v>47</v>
      </c>
      <c r="AF46" s="60">
        <v>83</v>
      </c>
      <c r="AG46" s="64">
        <v>23</v>
      </c>
      <c r="AH46" s="67">
        <v>20</v>
      </c>
      <c r="AI46" s="60">
        <v>43</v>
      </c>
      <c r="AJ46" s="64">
        <v>43</v>
      </c>
      <c r="AK46" s="67">
        <v>63</v>
      </c>
      <c r="AL46" s="60">
        <v>106</v>
      </c>
      <c r="AM46" s="64">
        <v>7</v>
      </c>
      <c r="AN46" s="67">
        <v>12</v>
      </c>
      <c r="AO46" s="60">
        <v>19</v>
      </c>
      <c r="AP46" s="64">
        <v>24</v>
      </c>
      <c r="AQ46" s="67">
        <v>38</v>
      </c>
      <c r="AR46" s="60">
        <v>62</v>
      </c>
      <c r="AS46" s="64">
        <v>12</v>
      </c>
      <c r="AT46" s="67">
        <v>13</v>
      </c>
      <c r="AU46" s="60">
        <v>25</v>
      </c>
      <c r="AV46" s="64">
        <v>6762</v>
      </c>
      <c r="AW46" s="67">
        <v>10299</v>
      </c>
      <c r="AX46" s="60">
        <v>17061</v>
      </c>
      <c r="AY46" s="64">
        <v>3870</v>
      </c>
      <c r="AZ46" s="67">
        <v>5550</v>
      </c>
      <c r="BA46" s="60">
        <v>9420</v>
      </c>
      <c r="BB46" s="64">
        <v>2088</v>
      </c>
      <c r="BC46" s="67">
        <v>3022</v>
      </c>
      <c r="BD46" s="60">
        <v>5110</v>
      </c>
      <c r="BE46" s="64">
        <v>804</v>
      </c>
      <c r="BF46" s="67">
        <v>1727</v>
      </c>
      <c r="BG46" s="60">
        <v>2531</v>
      </c>
      <c r="BH46" s="64">
        <v>404</v>
      </c>
      <c r="BI46" s="67">
        <v>460</v>
      </c>
      <c r="BJ46" s="60">
        <v>864</v>
      </c>
      <c r="BK46" s="64">
        <v>194</v>
      </c>
      <c r="BL46" s="67">
        <v>162</v>
      </c>
      <c r="BM46" s="60">
        <v>356</v>
      </c>
      <c r="BN46" s="64">
        <v>125</v>
      </c>
      <c r="BO46" s="67">
        <v>144</v>
      </c>
      <c r="BP46" s="60">
        <v>269</v>
      </c>
      <c r="BQ46" s="64">
        <v>85</v>
      </c>
      <c r="BR46" s="67">
        <v>154</v>
      </c>
      <c r="BS46" s="60">
        <v>239</v>
      </c>
      <c r="BT46" s="64">
        <v>0</v>
      </c>
      <c r="BU46" s="67">
        <v>0</v>
      </c>
      <c r="BV46" s="60">
        <v>0</v>
      </c>
      <c r="BW46" s="64">
        <v>0</v>
      </c>
      <c r="BX46" s="67">
        <v>0</v>
      </c>
      <c r="BY46" s="60">
        <v>0</v>
      </c>
      <c r="BZ46" s="64">
        <v>0</v>
      </c>
      <c r="CA46" s="67">
        <v>0</v>
      </c>
      <c r="CB46" s="60">
        <v>0</v>
      </c>
      <c r="CC46" s="64">
        <v>0</v>
      </c>
      <c r="CD46" s="67">
        <v>0</v>
      </c>
      <c r="CE46" s="60">
        <v>0</v>
      </c>
      <c r="CF46" s="64">
        <v>0</v>
      </c>
      <c r="CG46" s="67">
        <v>0</v>
      </c>
      <c r="CH46" s="60">
        <v>0</v>
      </c>
      <c r="CI46" s="64">
        <v>0</v>
      </c>
      <c r="CJ46" s="67">
        <v>0</v>
      </c>
      <c r="CK46" s="60">
        <v>0</v>
      </c>
      <c r="CL46" s="64">
        <v>0</v>
      </c>
      <c r="CM46" s="67">
        <v>0</v>
      </c>
      <c r="CN46" s="60">
        <v>0</v>
      </c>
      <c r="CO46" s="64">
        <v>0</v>
      </c>
      <c r="CP46" s="67">
        <v>0</v>
      </c>
      <c r="CQ46" s="60">
        <v>0</v>
      </c>
    </row>
    <row r="47" spans="2:95">
      <c r="B47" s="61" t="s">
        <v>51</v>
      </c>
      <c r="C47" s="64">
        <v>123</v>
      </c>
      <c r="D47" s="67">
        <v>139</v>
      </c>
      <c r="E47" s="60">
        <v>262</v>
      </c>
      <c r="F47" s="64">
        <v>40</v>
      </c>
      <c r="G47" s="67">
        <v>16</v>
      </c>
      <c r="H47" s="60">
        <v>56</v>
      </c>
      <c r="I47" s="64">
        <v>31</v>
      </c>
      <c r="J47" s="67">
        <v>31</v>
      </c>
      <c r="K47" s="60">
        <v>62</v>
      </c>
      <c r="L47" s="64">
        <v>52</v>
      </c>
      <c r="M47" s="67">
        <v>92</v>
      </c>
      <c r="N47" s="60">
        <v>144</v>
      </c>
      <c r="O47" s="64">
        <v>0</v>
      </c>
      <c r="P47" s="67">
        <v>0</v>
      </c>
      <c r="Q47" s="69"/>
      <c r="R47" s="64">
        <v>0</v>
      </c>
      <c r="S47" s="67">
        <v>0</v>
      </c>
      <c r="T47" s="69"/>
      <c r="U47" s="64">
        <v>0</v>
      </c>
      <c r="V47" s="67">
        <v>0</v>
      </c>
      <c r="W47" s="69"/>
      <c r="X47" s="239">
        <v>11</v>
      </c>
      <c r="Y47" s="240">
        <v>31</v>
      </c>
      <c r="Z47" s="240">
        <v>42</v>
      </c>
      <c r="AA47" s="239">
        <v>3</v>
      </c>
      <c r="AB47" s="240">
        <v>6</v>
      </c>
      <c r="AC47" s="240">
        <v>9</v>
      </c>
      <c r="AD47" s="239">
        <v>6</v>
      </c>
      <c r="AE47" s="240">
        <v>11</v>
      </c>
      <c r="AF47" s="240">
        <v>17</v>
      </c>
      <c r="AG47" s="239">
        <v>2</v>
      </c>
      <c r="AH47" s="240">
        <v>14</v>
      </c>
      <c r="AI47" s="240">
        <v>16</v>
      </c>
      <c r="AJ47" s="64">
        <v>11</v>
      </c>
      <c r="AK47" s="67">
        <v>31</v>
      </c>
      <c r="AL47" s="60">
        <v>42</v>
      </c>
      <c r="AM47" s="64">
        <v>3</v>
      </c>
      <c r="AN47" s="67">
        <v>6</v>
      </c>
      <c r="AO47" s="60">
        <v>9</v>
      </c>
      <c r="AP47" s="64">
        <v>6</v>
      </c>
      <c r="AQ47" s="67">
        <v>11</v>
      </c>
      <c r="AR47" s="60">
        <v>17</v>
      </c>
      <c r="AS47" s="64">
        <v>2</v>
      </c>
      <c r="AT47" s="67">
        <v>14</v>
      </c>
      <c r="AU47" s="60">
        <v>16</v>
      </c>
      <c r="AV47" s="64">
        <v>6923</v>
      </c>
      <c r="AW47" s="67">
        <v>10920</v>
      </c>
      <c r="AX47" s="60">
        <v>17843</v>
      </c>
      <c r="AY47" s="64">
        <v>4255</v>
      </c>
      <c r="AZ47" s="67">
        <v>6234</v>
      </c>
      <c r="BA47" s="60">
        <v>10489</v>
      </c>
      <c r="BB47" s="64">
        <v>2006</v>
      </c>
      <c r="BC47" s="67">
        <v>3073</v>
      </c>
      <c r="BD47" s="60">
        <v>5079</v>
      </c>
      <c r="BE47" s="64">
        <v>662</v>
      </c>
      <c r="BF47" s="67">
        <v>1613</v>
      </c>
      <c r="BG47" s="60">
        <v>2275</v>
      </c>
      <c r="BH47" s="64">
        <v>475</v>
      </c>
      <c r="BI47" s="67">
        <v>457</v>
      </c>
      <c r="BJ47" s="60">
        <v>932</v>
      </c>
      <c r="BK47" s="64">
        <v>196</v>
      </c>
      <c r="BL47" s="67">
        <v>200</v>
      </c>
      <c r="BM47" s="60">
        <v>396</v>
      </c>
      <c r="BN47" s="64">
        <v>198</v>
      </c>
      <c r="BO47" s="67">
        <v>166</v>
      </c>
      <c r="BP47" s="60">
        <v>364</v>
      </c>
      <c r="BQ47" s="64">
        <v>81</v>
      </c>
      <c r="BR47" s="67">
        <v>91</v>
      </c>
      <c r="BS47" s="60">
        <v>172</v>
      </c>
      <c r="BT47" s="64">
        <v>96</v>
      </c>
      <c r="BU47" s="67">
        <v>175</v>
      </c>
      <c r="BV47" s="60">
        <v>271</v>
      </c>
      <c r="BW47" s="64">
        <v>52</v>
      </c>
      <c r="BX47" s="67">
        <v>103</v>
      </c>
      <c r="BY47" s="60">
        <v>155</v>
      </c>
      <c r="BZ47" s="64">
        <v>33</v>
      </c>
      <c r="CA47" s="67">
        <v>37</v>
      </c>
      <c r="CB47" s="60">
        <v>70</v>
      </c>
      <c r="CC47" s="64">
        <v>11</v>
      </c>
      <c r="CD47" s="67">
        <v>35</v>
      </c>
      <c r="CE47" s="60">
        <v>46</v>
      </c>
      <c r="CF47" s="64">
        <v>0</v>
      </c>
      <c r="CG47" s="67">
        <v>0</v>
      </c>
      <c r="CH47" s="60">
        <v>0</v>
      </c>
      <c r="CI47" s="64">
        <v>0</v>
      </c>
      <c r="CJ47" s="67">
        <v>0</v>
      </c>
      <c r="CK47" s="60">
        <v>0</v>
      </c>
      <c r="CL47" s="64">
        <v>0</v>
      </c>
      <c r="CM47" s="67">
        <v>0</v>
      </c>
      <c r="CN47" s="60">
        <v>0</v>
      </c>
      <c r="CO47" s="64">
        <v>0</v>
      </c>
      <c r="CP47" s="67">
        <v>0</v>
      </c>
      <c r="CQ47" s="60">
        <v>0</v>
      </c>
    </row>
    <row r="48" spans="2:95">
      <c r="B48" s="61" t="s">
        <v>50</v>
      </c>
      <c r="C48" s="64">
        <v>96</v>
      </c>
      <c r="D48" s="67">
        <v>110</v>
      </c>
      <c r="E48" s="60">
        <v>206</v>
      </c>
      <c r="F48" s="64">
        <v>15</v>
      </c>
      <c r="G48" s="67">
        <v>18</v>
      </c>
      <c r="H48" s="60">
        <v>33</v>
      </c>
      <c r="I48" s="64">
        <v>33</v>
      </c>
      <c r="J48" s="67">
        <v>23</v>
      </c>
      <c r="K48" s="60">
        <v>56</v>
      </c>
      <c r="L48" s="64">
        <v>48</v>
      </c>
      <c r="M48" s="67">
        <v>69</v>
      </c>
      <c r="N48" s="60">
        <v>117</v>
      </c>
      <c r="O48" s="64"/>
      <c r="P48" s="67"/>
      <c r="Q48" s="69"/>
      <c r="R48" s="64"/>
      <c r="S48" s="67"/>
      <c r="T48" s="69"/>
      <c r="U48" s="64"/>
      <c r="V48" s="67"/>
      <c r="W48" s="69"/>
      <c r="X48" s="64">
        <v>155</v>
      </c>
      <c r="Y48" s="67">
        <v>288</v>
      </c>
      <c r="Z48" s="60">
        <v>443</v>
      </c>
      <c r="AA48" s="64">
        <v>54</v>
      </c>
      <c r="AB48" s="67">
        <v>101</v>
      </c>
      <c r="AC48" s="60">
        <v>155</v>
      </c>
      <c r="AD48" s="64">
        <v>52</v>
      </c>
      <c r="AE48" s="67">
        <v>97</v>
      </c>
      <c r="AF48" s="60">
        <v>149</v>
      </c>
      <c r="AG48" s="64">
        <v>49</v>
      </c>
      <c r="AH48" s="67">
        <v>90</v>
      </c>
      <c r="AI48" s="60">
        <v>139</v>
      </c>
      <c r="AJ48" s="64">
        <v>155</v>
      </c>
      <c r="AK48" s="67">
        <v>288</v>
      </c>
      <c r="AL48" s="60">
        <v>443</v>
      </c>
      <c r="AM48" s="64">
        <v>54</v>
      </c>
      <c r="AN48" s="67">
        <v>101</v>
      </c>
      <c r="AO48" s="60">
        <v>155</v>
      </c>
      <c r="AP48" s="64">
        <v>52</v>
      </c>
      <c r="AQ48" s="67">
        <v>97</v>
      </c>
      <c r="AR48" s="60">
        <v>149</v>
      </c>
      <c r="AS48" s="64">
        <v>49</v>
      </c>
      <c r="AT48" s="67">
        <v>90</v>
      </c>
      <c r="AU48" s="60">
        <v>139</v>
      </c>
      <c r="AV48" s="64">
        <v>4860</v>
      </c>
      <c r="AW48" s="67">
        <v>7347</v>
      </c>
      <c r="AX48" s="60">
        <v>12207</v>
      </c>
      <c r="AY48" s="64">
        <v>3223</v>
      </c>
      <c r="AZ48" s="67">
        <v>4466</v>
      </c>
      <c r="BA48" s="60">
        <v>7689</v>
      </c>
      <c r="BB48" s="64">
        <v>1220</v>
      </c>
      <c r="BC48" s="67">
        <v>1876</v>
      </c>
      <c r="BD48" s="60">
        <v>3096</v>
      </c>
      <c r="BE48" s="64">
        <v>417</v>
      </c>
      <c r="BF48" s="67">
        <v>1005</v>
      </c>
      <c r="BG48" s="60">
        <v>1422</v>
      </c>
      <c r="BH48" s="64">
        <v>267</v>
      </c>
      <c r="BI48" s="67">
        <v>264</v>
      </c>
      <c r="BJ48" s="60">
        <v>531</v>
      </c>
      <c r="BK48" s="64">
        <v>135</v>
      </c>
      <c r="BL48" s="67">
        <v>111</v>
      </c>
      <c r="BM48" s="60">
        <v>246</v>
      </c>
      <c r="BN48" s="64">
        <v>82</v>
      </c>
      <c r="BO48" s="67">
        <v>87</v>
      </c>
      <c r="BP48" s="60">
        <v>169</v>
      </c>
      <c r="BQ48" s="64">
        <v>50</v>
      </c>
      <c r="BR48" s="67">
        <v>66</v>
      </c>
      <c r="BS48" s="60">
        <v>116</v>
      </c>
      <c r="BT48" s="64">
        <v>0</v>
      </c>
      <c r="BU48" s="67">
        <v>0</v>
      </c>
      <c r="BV48" s="60">
        <v>0</v>
      </c>
      <c r="BW48" s="64">
        <v>0</v>
      </c>
      <c r="BX48" s="67">
        <v>0</v>
      </c>
      <c r="BY48" s="60">
        <v>0</v>
      </c>
      <c r="BZ48" s="64">
        <v>0</v>
      </c>
      <c r="CA48" s="67">
        <v>0</v>
      </c>
      <c r="CB48" s="60">
        <v>0</v>
      </c>
      <c r="CC48" s="64">
        <v>0</v>
      </c>
      <c r="CD48" s="67">
        <v>0</v>
      </c>
      <c r="CE48" s="60">
        <v>0</v>
      </c>
      <c r="CF48" s="64">
        <v>0</v>
      </c>
      <c r="CG48" s="67">
        <v>0</v>
      </c>
      <c r="CH48" s="60">
        <v>0</v>
      </c>
      <c r="CI48" s="64">
        <v>0</v>
      </c>
      <c r="CJ48" s="67">
        <v>0</v>
      </c>
      <c r="CK48" s="60">
        <v>0</v>
      </c>
      <c r="CL48" s="64">
        <v>0</v>
      </c>
      <c r="CM48" s="67">
        <v>0</v>
      </c>
      <c r="CN48" s="60">
        <v>0</v>
      </c>
      <c r="CO48" s="64">
        <v>0</v>
      </c>
      <c r="CP48" s="67">
        <v>0</v>
      </c>
      <c r="CQ48" s="60">
        <v>0</v>
      </c>
    </row>
    <row r="49" spans="2:95">
      <c r="B49" s="61" t="s">
        <v>19</v>
      </c>
      <c r="C49" s="64">
        <v>26</v>
      </c>
      <c r="D49" s="67">
        <v>15</v>
      </c>
      <c r="E49" s="60">
        <v>41</v>
      </c>
      <c r="F49" s="64">
        <v>13</v>
      </c>
      <c r="G49" s="67">
        <v>3</v>
      </c>
      <c r="H49" s="60">
        <v>16</v>
      </c>
      <c r="I49" s="64">
        <v>5</v>
      </c>
      <c r="J49" s="67">
        <v>6</v>
      </c>
      <c r="K49" s="60">
        <v>11</v>
      </c>
      <c r="L49" s="64">
        <v>8</v>
      </c>
      <c r="M49" s="67">
        <v>6</v>
      </c>
      <c r="N49" s="60">
        <v>14</v>
      </c>
      <c r="O49" s="64">
        <v>0</v>
      </c>
      <c r="P49" s="67">
        <v>0</v>
      </c>
      <c r="Q49" s="69"/>
      <c r="R49" s="64">
        <v>0</v>
      </c>
      <c r="S49" s="67">
        <v>0</v>
      </c>
      <c r="T49" s="69"/>
      <c r="U49" s="64">
        <v>0</v>
      </c>
      <c r="V49" s="67">
        <v>0</v>
      </c>
      <c r="W49" s="69"/>
      <c r="X49" s="64">
        <v>186</v>
      </c>
      <c r="Y49" s="67">
        <v>333</v>
      </c>
      <c r="Z49" s="60">
        <v>519</v>
      </c>
      <c r="AA49" s="64">
        <v>56</v>
      </c>
      <c r="AB49" s="67">
        <v>118</v>
      </c>
      <c r="AC49" s="60">
        <v>174</v>
      </c>
      <c r="AD49" s="64">
        <v>99</v>
      </c>
      <c r="AE49" s="67">
        <v>138</v>
      </c>
      <c r="AF49" s="60">
        <v>237</v>
      </c>
      <c r="AG49" s="64">
        <v>31</v>
      </c>
      <c r="AH49" s="67">
        <v>77</v>
      </c>
      <c r="AI49" s="60">
        <v>108</v>
      </c>
      <c r="AJ49" s="64">
        <v>178</v>
      </c>
      <c r="AK49" s="67">
        <v>321</v>
      </c>
      <c r="AL49" s="60">
        <v>499</v>
      </c>
      <c r="AM49" s="64">
        <v>50</v>
      </c>
      <c r="AN49" s="67">
        <v>109</v>
      </c>
      <c r="AO49" s="60">
        <v>159</v>
      </c>
      <c r="AP49" s="64">
        <v>97</v>
      </c>
      <c r="AQ49" s="67">
        <v>135</v>
      </c>
      <c r="AR49" s="60">
        <v>232</v>
      </c>
      <c r="AS49" s="64">
        <v>31</v>
      </c>
      <c r="AT49" s="67">
        <v>77</v>
      </c>
      <c r="AU49" s="60">
        <v>108</v>
      </c>
      <c r="AV49" s="64">
        <v>8475</v>
      </c>
      <c r="AW49" s="67">
        <v>13054</v>
      </c>
      <c r="AX49" s="60">
        <v>21529</v>
      </c>
      <c r="AY49" s="64">
        <v>5348</v>
      </c>
      <c r="AZ49" s="67">
        <v>7621</v>
      </c>
      <c r="BA49" s="60">
        <v>12969</v>
      </c>
      <c r="BB49" s="64">
        <v>2323</v>
      </c>
      <c r="BC49" s="67">
        <v>3566</v>
      </c>
      <c r="BD49" s="60">
        <v>5889</v>
      </c>
      <c r="BE49" s="64">
        <v>804</v>
      </c>
      <c r="BF49" s="67">
        <v>1867</v>
      </c>
      <c r="BG49" s="60">
        <v>2671</v>
      </c>
      <c r="BH49" s="64">
        <v>696</v>
      </c>
      <c r="BI49" s="67">
        <v>905</v>
      </c>
      <c r="BJ49" s="60">
        <v>1601</v>
      </c>
      <c r="BK49" s="64">
        <v>330</v>
      </c>
      <c r="BL49" s="67">
        <v>286</v>
      </c>
      <c r="BM49" s="60">
        <v>616</v>
      </c>
      <c r="BN49" s="64">
        <v>227</v>
      </c>
      <c r="BO49" s="67">
        <v>306</v>
      </c>
      <c r="BP49" s="60">
        <v>533</v>
      </c>
      <c r="BQ49" s="64">
        <v>139</v>
      </c>
      <c r="BR49" s="67">
        <v>313</v>
      </c>
      <c r="BS49" s="60">
        <v>452</v>
      </c>
      <c r="BT49" s="64">
        <v>0</v>
      </c>
      <c r="BU49" s="67">
        <v>0</v>
      </c>
      <c r="BV49" s="60">
        <v>0</v>
      </c>
      <c r="BW49" s="64">
        <v>0</v>
      </c>
      <c r="BX49" s="67">
        <v>0</v>
      </c>
      <c r="BY49" s="60">
        <v>0</v>
      </c>
      <c r="BZ49" s="64">
        <v>0</v>
      </c>
      <c r="CA49" s="67">
        <v>0</v>
      </c>
      <c r="CB49" s="60">
        <v>0</v>
      </c>
      <c r="CC49" s="64">
        <v>0</v>
      </c>
      <c r="CD49" s="67">
        <v>0</v>
      </c>
      <c r="CE49" s="60">
        <v>0</v>
      </c>
      <c r="CF49" s="64">
        <v>0</v>
      </c>
      <c r="CG49" s="67">
        <v>0</v>
      </c>
      <c r="CH49" s="60">
        <v>0</v>
      </c>
      <c r="CI49" s="64">
        <v>0</v>
      </c>
      <c r="CJ49" s="67">
        <v>0</v>
      </c>
      <c r="CK49" s="60">
        <v>0</v>
      </c>
      <c r="CL49" s="64">
        <v>0</v>
      </c>
      <c r="CM49" s="67">
        <v>0</v>
      </c>
      <c r="CN49" s="60">
        <v>0</v>
      </c>
      <c r="CO49" s="64">
        <v>0</v>
      </c>
      <c r="CP49" s="67">
        <v>0</v>
      </c>
      <c r="CQ49" s="60">
        <v>0</v>
      </c>
    </row>
    <row r="50" spans="2:95">
      <c r="B50" s="61" t="s">
        <v>20</v>
      </c>
      <c r="C50" s="64">
        <v>427</v>
      </c>
      <c r="D50" s="67">
        <v>458</v>
      </c>
      <c r="E50" s="60">
        <v>885</v>
      </c>
      <c r="F50" s="64">
        <v>154</v>
      </c>
      <c r="G50" s="67">
        <v>92</v>
      </c>
      <c r="H50" s="60">
        <v>246</v>
      </c>
      <c r="I50" s="64">
        <v>133</v>
      </c>
      <c r="J50" s="67">
        <v>115</v>
      </c>
      <c r="K50" s="60">
        <v>248</v>
      </c>
      <c r="L50" s="64">
        <v>140</v>
      </c>
      <c r="M50" s="67">
        <v>251</v>
      </c>
      <c r="N50" s="60">
        <v>391</v>
      </c>
      <c r="O50" s="64"/>
      <c r="P50" s="67"/>
      <c r="Q50" s="69"/>
      <c r="R50" s="64"/>
      <c r="S50" s="67"/>
      <c r="T50" s="69"/>
      <c r="U50" s="64"/>
      <c r="V50" s="67"/>
      <c r="W50" s="69"/>
      <c r="X50" s="64">
        <v>11</v>
      </c>
      <c r="Y50" s="67">
        <v>23</v>
      </c>
      <c r="Z50" s="60">
        <v>34</v>
      </c>
      <c r="AA50" s="64">
        <v>2</v>
      </c>
      <c r="AB50" s="67">
        <v>3</v>
      </c>
      <c r="AC50" s="60">
        <v>5</v>
      </c>
      <c r="AD50" s="64">
        <v>4</v>
      </c>
      <c r="AE50" s="67">
        <v>6</v>
      </c>
      <c r="AF50" s="60">
        <v>10</v>
      </c>
      <c r="AG50" s="64">
        <v>5</v>
      </c>
      <c r="AH50" s="67">
        <v>14</v>
      </c>
      <c r="AI50" s="60">
        <v>19</v>
      </c>
      <c r="AJ50" s="64">
        <v>11</v>
      </c>
      <c r="AK50" s="67">
        <v>23</v>
      </c>
      <c r="AL50" s="60">
        <v>34</v>
      </c>
      <c r="AM50" s="64">
        <v>2</v>
      </c>
      <c r="AN50" s="67">
        <v>3</v>
      </c>
      <c r="AO50" s="60">
        <v>5</v>
      </c>
      <c r="AP50" s="64">
        <v>4</v>
      </c>
      <c r="AQ50" s="67">
        <v>6</v>
      </c>
      <c r="AR50" s="60">
        <v>10</v>
      </c>
      <c r="AS50" s="64">
        <v>5</v>
      </c>
      <c r="AT50" s="67">
        <v>14</v>
      </c>
      <c r="AU50" s="60">
        <v>19</v>
      </c>
      <c r="AV50" s="64">
        <v>12137</v>
      </c>
      <c r="AW50" s="67">
        <v>18815</v>
      </c>
      <c r="AX50" s="60">
        <v>30952</v>
      </c>
      <c r="AY50" s="64">
        <v>7824</v>
      </c>
      <c r="AZ50" s="67">
        <v>11206</v>
      </c>
      <c r="BA50" s="60">
        <v>19030</v>
      </c>
      <c r="BB50" s="64">
        <v>3158</v>
      </c>
      <c r="BC50" s="67">
        <v>5026</v>
      </c>
      <c r="BD50" s="60">
        <v>8184</v>
      </c>
      <c r="BE50" s="64">
        <v>1155</v>
      </c>
      <c r="BF50" s="67">
        <v>2583</v>
      </c>
      <c r="BG50" s="60">
        <v>3738</v>
      </c>
      <c r="BH50" s="64">
        <v>676</v>
      </c>
      <c r="BI50" s="67">
        <v>573</v>
      </c>
      <c r="BJ50" s="60">
        <v>1249</v>
      </c>
      <c r="BK50" s="64">
        <v>313</v>
      </c>
      <c r="BL50" s="67">
        <v>252</v>
      </c>
      <c r="BM50" s="60">
        <v>565</v>
      </c>
      <c r="BN50" s="64">
        <v>240</v>
      </c>
      <c r="BO50" s="67">
        <v>173</v>
      </c>
      <c r="BP50" s="60">
        <v>413</v>
      </c>
      <c r="BQ50" s="64">
        <v>123</v>
      </c>
      <c r="BR50" s="67">
        <v>148</v>
      </c>
      <c r="BS50" s="60">
        <v>271</v>
      </c>
      <c r="BT50" s="64">
        <v>0</v>
      </c>
      <c r="BU50" s="67">
        <v>0</v>
      </c>
      <c r="BV50" s="60">
        <v>0</v>
      </c>
      <c r="BW50" s="64">
        <v>0</v>
      </c>
      <c r="BX50" s="67">
        <v>0</v>
      </c>
      <c r="BY50" s="60">
        <v>0</v>
      </c>
      <c r="BZ50" s="64">
        <v>0</v>
      </c>
      <c r="CA50" s="67">
        <v>0</v>
      </c>
      <c r="CB50" s="60">
        <v>0</v>
      </c>
      <c r="CC50" s="64">
        <v>0</v>
      </c>
      <c r="CD50" s="67">
        <v>0</v>
      </c>
      <c r="CE50" s="60">
        <v>0</v>
      </c>
      <c r="CF50" s="64">
        <v>217</v>
      </c>
      <c r="CG50" s="67">
        <v>335</v>
      </c>
      <c r="CH50" s="60">
        <v>552</v>
      </c>
      <c r="CI50" s="64">
        <v>143</v>
      </c>
      <c r="CJ50" s="67">
        <v>196</v>
      </c>
      <c r="CK50" s="60">
        <v>339</v>
      </c>
      <c r="CL50" s="64">
        <v>55</v>
      </c>
      <c r="CM50" s="67">
        <v>88</v>
      </c>
      <c r="CN50" s="60">
        <v>143</v>
      </c>
      <c r="CO50" s="64">
        <v>19</v>
      </c>
      <c r="CP50" s="67">
        <v>51</v>
      </c>
      <c r="CQ50" s="60">
        <v>70</v>
      </c>
    </row>
    <row r="51" spans="2:95">
      <c r="B51" s="61" t="s">
        <v>21</v>
      </c>
      <c r="C51" s="64">
        <v>307</v>
      </c>
      <c r="D51" s="67">
        <v>273</v>
      </c>
      <c r="E51" s="60">
        <v>580</v>
      </c>
      <c r="F51" s="64">
        <v>115</v>
      </c>
      <c r="G51" s="67">
        <v>78</v>
      </c>
      <c r="H51" s="60">
        <v>193</v>
      </c>
      <c r="I51" s="64">
        <v>87</v>
      </c>
      <c r="J51" s="67">
        <v>91</v>
      </c>
      <c r="K51" s="60">
        <v>178</v>
      </c>
      <c r="L51" s="64">
        <v>105</v>
      </c>
      <c r="M51" s="67">
        <v>104</v>
      </c>
      <c r="N51" s="60">
        <v>209</v>
      </c>
      <c r="O51" s="64" t="s">
        <v>448</v>
      </c>
      <c r="P51" s="67" t="s">
        <v>448</v>
      </c>
      <c r="Q51" s="69"/>
      <c r="R51" s="64" t="s">
        <v>389</v>
      </c>
      <c r="S51" s="67" t="s">
        <v>389</v>
      </c>
      <c r="T51" s="69"/>
      <c r="U51" s="64" t="s">
        <v>389</v>
      </c>
      <c r="V51" s="67" t="s">
        <v>389</v>
      </c>
      <c r="W51" s="69"/>
      <c r="X51" s="64">
        <v>31</v>
      </c>
      <c r="Y51" s="67">
        <v>22</v>
      </c>
      <c r="Z51" s="60">
        <v>53</v>
      </c>
      <c r="AA51" s="64">
        <v>16</v>
      </c>
      <c r="AB51" s="67">
        <v>10</v>
      </c>
      <c r="AC51" s="60">
        <v>26</v>
      </c>
      <c r="AD51" s="64">
        <v>7</v>
      </c>
      <c r="AE51" s="67">
        <v>5</v>
      </c>
      <c r="AF51" s="60">
        <v>12</v>
      </c>
      <c r="AG51" s="64">
        <v>8</v>
      </c>
      <c r="AH51" s="67">
        <v>7</v>
      </c>
      <c r="AI51" s="60">
        <v>15</v>
      </c>
      <c r="AJ51" s="64">
        <v>21</v>
      </c>
      <c r="AK51" s="67">
        <v>17</v>
      </c>
      <c r="AL51" s="60">
        <v>38</v>
      </c>
      <c r="AM51" s="64">
        <v>10</v>
      </c>
      <c r="AN51" s="67">
        <v>5</v>
      </c>
      <c r="AO51" s="60">
        <v>15</v>
      </c>
      <c r="AP51" s="64">
        <v>5</v>
      </c>
      <c r="AQ51" s="67">
        <v>5</v>
      </c>
      <c r="AR51" s="60">
        <v>10</v>
      </c>
      <c r="AS51" s="64">
        <v>6</v>
      </c>
      <c r="AT51" s="67">
        <v>7</v>
      </c>
      <c r="AU51" s="60">
        <v>13</v>
      </c>
      <c r="AV51" s="64">
        <v>8518</v>
      </c>
      <c r="AW51" s="67">
        <v>12703</v>
      </c>
      <c r="AX51" s="60">
        <v>21221</v>
      </c>
      <c r="AY51" s="64">
        <v>5808</v>
      </c>
      <c r="AZ51" s="67">
        <v>8012</v>
      </c>
      <c r="BA51" s="60">
        <v>13820</v>
      </c>
      <c r="BB51" s="64">
        <v>2054</v>
      </c>
      <c r="BC51" s="67">
        <v>3270</v>
      </c>
      <c r="BD51" s="60">
        <v>5324</v>
      </c>
      <c r="BE51" s="64">
        <v>656</v>
      </c>
      <c r="BF51" s="67">
        <v>1421</v>
      </c>
      <c r="BG51" s="60">
        <v>2077</v>
      </c>
      <c r="BH51" s="64">
        <v>724</v>
      </c>
      <c r="BI51" s="67">
        <v>1122</v>
      </c>
      <c r="BJ51" s="60">
        <v>1846</v>
      </c>
      <c r="BK51" s="64">
        <v>279</v>
      </c>
      <c r="BL51" s="67">
        <v>587</v>
      </c>
      <c r="BM51" s="60">
        <v>866</v>
      </c>
      <c r="BN51" s="64">
        <v>321</v>
      </c>
      <c r="BO51" s="67">
        <v>425</v>
      </c>
      <c r="BP51" s="60">
        <v>746</v>
      </c>
      <c r="BQ51" s="64">
        <v>124</v>
      </c>
      <c r="BR51" s="67">
        <v>110</v>
      </c>
      <c r="BS51" s="60">
        <v>234</v>
      </c>
      <c r="BT51" s="64">
        <v>2171</v>
      </c>
      <c r="BU51" s="67">
        <v>3562</v>
      </c>
      <c r="BV51" s="60">
        <v>5733</v>
      </c>
      <c r="BW51" s="64">
        <v>2091</v>
      </c>
      <c r="BX51" s="67">
        <v>3412</v>
      </c>
      <c r="BY51" s="60">
        <v>5503</v>
      </c>
      <c r="BZ51" s="64">
        <v>57</v>
      </c>
      <c r="CA51" s="67">
        <v>93</v>
      </c>
      <c r="CB51" s="60">
        <v>150</v>
      </c>
      <c r="CC51" s="64">
        <v>23</v>
      </c>
      <c r="CD51" s="67">
        <v>57</v>
      </c>
      <c r="CE51" s="60">
        <v>80</v>
      </c>
      <c r="CF51" s="64">
        <v>0</v>
      </c>
      <c r="CG51" s="67">
        <v>0</v>
      </c>
      <c r="CH51" s="60">
        <v>0</v>
      </c>
      <c r="CI51" s="64">
        <v>0</v>
      </c>
      <c r="CJ51" s="67">
        <v>0</v>
      </c>
      <c r="CK51" s="60">
        <v>0</v>
      </c>
      <c r="CL51" s="64">
        <v>0</v>
      </c>
      <c r="CM51" s="67">
        <v>0</v>
      </c>
      <c r="CN51" s="60">
        <v>0</v>
      </c>
      <c r="CO51" s="64">
        <v>0</v>
      </c>
      <c r="CP51" s="67">
        <v>0</v>
      </c>
      <c r="CQ51" s="60">
        <v>0</v>
      </c>
    </row>
    <row r="52" spans="2:95" ht="23.1" customHeight="1">
      <c r="B52" s="61" t="s">
        <v>22</v>
      </c>
      <c r="C52" s="64">
        <v>5</v>
      </c>
      <c r="D52" s="67">
        <v>10</v>
      </c>
      <c r="E52" s="60">
        <v>15</v>
      </c>
      <c r="F52" s="64">
        <v>2</v>
      </c>
      <c r="G52" s="67">
        <v>3</v>
      </c>
      <c r="H52" s="60">
        <v>5</v>
      </c>
      <c r="I52" s="64">
        <v>3</v>
      </c>
      <c r="J52" s="67">
        <v>0</v>
      </c>
      <c r="K52" s="60">
        <v>3</v>
      </c>
      <c r="L52" s="64">
        <v>0</v>
      </c>
      <c r="M52" s="67">
        <v>7</v>
      </c>
      <c r="N52" s="60">
        <v>7</v>
      </c>
      <c r="O52" s="64" t="s">
        <v>449</v>
      </c>
      <c r="P52" s="67" t="s">
        <v>450</v>
      </c>
      <c r="Q52" s="69"/>
      <c r="R52" s="64" t="s">
        <v>100</v>
      </c>
      <c r="S52" s="67">
        <v>0</v>
      </c>
      <c r="T52" s="69"/>
      <c r="U52" s="64">
        <v>0</v>
      </c>
      <c r="V52" s="67" t="s">
        <v>451</v>
      </c>
      <c r="W52" s="69"/>
      <c r="X52" s="64">
        <v>31</v>
      </c>
      <c r="Y52" s="67">
        <v>75</v>
      </c>
      <c r="Z52" s="60">
        <v>106</v>
      </c>
      <c r="AA52" s="64">
        <v>12</v>
      </c>
      <c r="AB52" s="67">
        <v>20</v>
      </c>
      <c r="AC52" s="60">
        <v>32</v>
      </c>
      <c r="AD52" s="64">
        <v>12</v>
      </c>
      <c r="AE52" s="67">
        <v>30</v>
      </c>
      <c r="AF52" s="60">
        <v>42</v>
      </c>
      <c r="AG52" s="64">
        <v>7</v>
      </c>
      <c r="AH52" s="67">
        <v>25</v>
      </c>
      <c r="AI52" s="60">
        <v>32</v>
      </c>
      <c r="AJ52" s="64">
        <v>39</v>
      </c>
      <c r="AK52" s="67">
        <v>67</v>
      </c>
      <c r="AL52" s="60">
        <v>106</v>
      </c>
      <c r="AM52" s="64">
        <v>20</v>
      </c>
      <c r="AN52" s="67">
        <v>12</v>
      </c>
      <c r="AO52" s="60">
        <v>32</v>
      </c>
      <c r="AP52" s="64">
        <v>7</v>
      </c>
      <c r="AQ52" s="67">
        <v>30</v>
      </c>
      <c r="AR52" s="60">
        <v>37</v>
      </c>
      <c r="AS52" s="64">
        <v>12</v>
      </c>
      <c r="AT52" s="67">
        <v>25</v>
      </c>
      <c r="AU52" s="60">
        <v>37</v>
      </c>
      <c r="AV52" s="64">
        <v>9949</v>
      </c>
      <c r="AW52" s="67">
        <v>12349</v>
      </c>
      <c r="AX52" s="60">
        <v>22298</v>
      </c>
      <c r="AY52" s="64">
        <v>6222</v>
      </c>
      <c r="AZ52" s="67">
        <v>8466</v>
      </c>
      <c r="BA52" s="60">
        <v>14688</v>
      </c>
      <c r="BB52" s="64">
        <v>2241</v>
      </c>
      <c r="BC52" s="67">
        <v>3240</v>
      </c>
      <c r="BD52" s="60">
        <v>5481</v>
      </c>
      <c r="BE52" s="64">
        <v>1486</v>
      </c>
      <c r="BF52" s="67">
        <v>643</v>
      </c>
      <c r="BG52" s="60">
        <v>2129</v>
      </c>
      <c r="BH52" s="64">
        <v>678</v>
      </c>
      <c r="BI52" s="67">
        <v>953</v>
      </c>
      <c r="BJ52" s="60">
        <v>1631</v>
      </c>
      <c r="BK52" s="64">
        <v>326</v>
      </c>
      <c r="BL52" s="67">
        <v>346</v>
      </c>
      <c r="BM52" s="60">
        <v>672</v>
      </c>
      <c r="BN52" s="64">
        <v>227</v>
      </c>
      <c r="BO52" s="67">
        <v>323</v>
      </c>
      <c r="BP52" s="60">
        <v>550</v>
      </c>
      <c r="BQ52" s="64">
        <v>125</v>
      </c>
      <c r="BR52" s="67">
        <v>284</v>
      </c>
      <c r="BS52" s="60">
        <v>409</v>
      </c>
      <c r="BT52" s="64">
        <v>0</v>
      </c>
      <c r="BU52" s="67">
        <v>0</v>
      </c>
      <c r="BV52" s="60">
        <v>0</v>
      </c>
      <c r="BW52" s="64">
        <v>0</v>
      </c>
      <c r="BX52" s="67">
        <v>0</v>
      </c>
      <c r="BY52" s="60">
        <v>0</v>
      </c>
      <c r="BZ52" s="64">
        <v>0</v>
      </c>
      <c r="CA52" s="67">
        <v>0</v>
      </c>
      <c r="CB52" s="60">
        <v>0</v>
      </c>
      <c r="CC52" s="64">
        <v>0</v>
      </c>
      <c r="CD52" s="67">
        <v>0</v>
      </c>
      <c r="CE52" s="60">
        <v>0</v>
      </c>
      <c r="CF52" s="64">
        <v>0</v>
      </c>
      <c r="CG52" s="67">
        <v>0</v>
      </c>
      <c r="CH52" s="60">
        <v>0</v>
      </c>
      <c r="CI52" s="64">
        <v>0</v>
      </c>
      <c r="CJ52" s="67">
        <v>0</v>
      </c>
      <c r="CK52" s="60">
        <v>0</v>
      </c>
      <c r="CL52" s="64">
        <v>0</v>
      </c>
      <c r="CM52" s="67">
        <v>0</v>
      </c>
      <c r="CN52" s="60">
        <v>0</v>
      </c>
      <c r="CO52" s="64">
        <v>0</v>
      </c>
      <c r="CP52" s="67">
        <v>0</v>
      </c>
      <c r="CQ52" s="60">
        <v>0</v>
      </c>
    </row>
    <row r="53" spans="2:95">
      <c r="B53" s="61" t="s">
        <v>23</v>
      </c>
      <c r="C53" s="64">
        <v>4</v>
      </c>
      <c r="D53" s="67">
        <v>3</v>
      </c>
      <c r="E53" s="60">
        <v>7</v>
      </c>
      <c r="F53" s="64">
        <v>2</v>
      </c>
      <c r="G53" s="67">
        <v>1</v>
      </c>
      <c r="H53" s="60">
        <v>3</v>
      </c>
      <c r="I53" s="64">
        <v>1</v>
      </c>
      <c r="J53" s="67">
        <v>0</v>
      </c>
      <c r="K53" s="60">
        <v>1</v>
      </c>
      <c r="L53" s="64">
        <v>1</v>
      </c>
      <c r="M53" s="67">
        <v>2</v>
      </c>
      <c r="N53" s="60">
        <v>3</v>
      </c>
      <c r="O53" s="64" t="s">
        <v>389</v>
      </c>
      <c r="P53" s="67" t="s">
        <v>95</v>
      </c>
      <c r="Q53" s="69"/>
      <c r="R53" s="64" t="s">
        <v>439</v>
      </c>
      <c r="S53" s="67" t="s">
        <v>413</v>
      </c>
      <c r="T53" s="69"/>
      <c r="U53" s="64" t="s">
        <v>452</v>
      </c>
      <c r="V53" s="67" t="s">
        <v>453</v>
      </c>
      <c r="W53" s="69"/>
      <c r="X53" s="64">
        <v>223</v>
      </c>
      <c r="Y53" s="67">
        <v>399</v>
      </c>
      <c r="Z53" s="60">
        <v>622</v>
      </c>
      <c r="AA53" s="64">
        <v>112</v>
      </c>
      <c r="AB53" s="67">
        <v>239</v>
      </c>
      <c r="AC53" s="60">
        <v>351</v>
      </c>
      <c r="AD53" s="64">
        <v>71</v>
      </c>
      <c r="AE53" s="67">
        <v>109</v>
      </c>
      <c r="AF53" s="60">
        <v>180</v>
      </c>
      <c r="AG53" s="64">
        <v>40</v>
      </c>
      <c r="AH53" s="67">
        <v>51</v>
      </c>
      <c r="AI53" s="60">
        <v>91</v>
      </c>
      <c r="AJ53" s="64">
        <v>11</v>
      </c>
      <c r="AK53" s="67">
        <v>14</v>
      </c>
      <c r="AL53" s="60">
        <v>25</v>
      </c>
      <c r="AM53" s="64">
        <v>3</v>
      </c>
      <c r="AN53" s="67">
        <v>1</v>
      </c>
      <c r="AO53" s="60">
        <v>4</v>
      </c>
      <c r="AP53" s="64">
        <v>3</v>
      </c>
      <c r="AQ53" s="67">
        <v>4</v>
      </c>
      <c r="AR53" s="60">
        <v>7</v>
      </c>
      <c r="AS53" s="64">
        <v>5</v>
      </c>
      <c r="AT53" s="67">
        <v>9</v>
      </c>
      <c r="AU53" s="60">
        <v>14</v>
      </c>
      <c r="AV53" s="64">
        <v>16072</v>
      </c>
      <c r="AW53" s="67">
        <v>0</v>
      </c>
      <c r="AX53" s="60">
        <v>16072</v>
      </c>
      <c r="AY53" s="64">
        <v>0</v>
      </c>
      <c r="AZ53" s="67">
        <v>0</v>
      </c>
      <c r="BA53" s="60">
        <v>10421</v>
      </c>
      <c r="BB53" s="64">
        <v>0</v>
      </c>
      <c r="BC53" s="67">
        <v>0</v>
      </c>
      <c r="BD53" s="60">
        <v>3957</v>
      </c>
      <c r="BE53" s="64">
        <v>0</v>
      </c>
      <c r="BF53" s="67">
        <v>0</v>
      </c>
      <c r="BG53" s="60">
        <v>1694</v>
      </c>
      <c r="BH53" s="64">
        <v>398</v>
      </c>
      <c r="BI53" s="67">
        <v>498</v>
      </c>
      <c r="BJ53" s="60">
        <v>896</v>
      </c>
      <c r="BK53" s="64">
        <v>189</v>
      </c>
      <c r="BL53" s="67">
        <v>171</v>
      </c>
      <c r="BM53" s="60">
        <v>360</v>
      </c>
      <c r="BN53" s="64">
        <v>135</v>
      </c>
      <c r="BO53" s="67">
        <v>172</v>
      </c>
      <c r="BP53" s="60">
        <v>307</v>
      </c>
      <c r="BQ53" s="64">
        <v>74</v>
      </c>
      <c r="BR53" s="67">
        <v>155</v>
      </c>
      <c r="BS53" s="60">
        <v>229</v>
      </c>
      <c r="BT53" s="64">
        <v>0</v>
      </c>
      <c r="BU53" s="67">
        <v>0</v>
      </c>
      <c r="BV53" s="60">
        <v>0</v>
      </c>
      <c r="BW53" s="64">
        <v>0</v>
      </c>
      <c r="BX53" s="67">
        <v>0</v>
      </c>
      <c r="BY53" s="60">
        <v>0</v>
      </c>
      <c r="BZ53" s="64">
        <v>0</v>
      </c>
      <c r="CA53" s="67">
        <v>0</v>
      </c>
      <c r="CB53" s="60">
        <v>0</v>
      </c>
      <c r="CC53" s="64">
        <v>0</v>
      </c>
      <c r="CD53" s="67">
        <v>0</v>
      </c>
      <c r="CE53" s="60">
        <v>0</v>
      </c>
      <c r="CF53" s="64">
        <v>171</v>
      </c>
      <c r="CG53" s="67">
        <v>199</v>
      </c>
      <c r="CH53" s="60">
        <v>370</v>
      </c>
      <c r="CI53" s="64">
        <v>97</v>
      </c>
      <c r="CJ53" s="67">
        <v>67</v>
      </c>
      <c r="CK53" s="60">
        <v>164</v>
      </c>
      <c r="CL53" s="64">
        <v>56</v>
      </c>
      <c r="CM53" s="67">
        <v>72</v>
      </c>
      <c r="CN53" s="60">
        <v>128</v>
      </c>
      <c r="CO53" s="64">
        <v>18</v>
      </c>
      <c r="CP53" s="67">
        <v>60</v>
      </c>
      <c r="CQ53" s="60">
        <v>78</v>
      </c>
    </row>
    <row r="54" spans="2:95">
      <c r="B54" s="61" t="s">
        <v>24</v>
      </c>
      <c r="C54" s="64">
        <v>222</v>
      </c>
      <c r="D54" s="67">
        <v>190</v>
      </c>
      <c r="E54" s="60">
        <v>412</v>
      </c>
      <c r="F54" s="64">
        <v>87</v>
      </c>
      <c r="G54" s="67">
        <v>56</v>
      </c>
      <c r="H54" s="60">
        <v>143</v>
      </c>
      <c r="I54" s="64">
        <v>86</v>
      </c>
      <c r="J54" s="67">
        <v>62</v>
      </c>
      <c r="K54" s="60">
        <v>148</v>
      </c>
      <c r="L54" s="64">
        <v>49</v>
      </c>
      <c r="M54" s="67">
        <v>72</v>
      </c>
      <c r="N54" s="60">
        <v>121</v>
      </c>
      <c r="O54" s="64">
        <v>0</v>
      </c>
      <c r="P54" s="67">
        <v>0</v>
      </c>
      <c r="Q54" s="69"/>
      <c r="R54" s="64">
        <v>0</v>
      </c>
      <c r="S54" s="67">
        <v>0</v>
      </c>
      <c r="T54" s="69"/>
      <c r="U54" s="64">
        <v>0</v>
      </c>
      <c r="V54" s="67">
        <v>0</v>
      </c>
      <c r="W54" s="69"/>
      <c r="X54" s="64">
        <v>10</v>
      </c>
      <c r="Y54" s="67">
        <v>25</v>
      </c>
      <c r="Z54" s="60">
        <v>35</v>
      </c>
      <c r="AA54" s="64">
        <v>5</v>
      </c>
      <c r="AB54" s="67">
        <v>4</v>
      </c>
      <c r="AC54" s="60">
        <v>9</v>
      </c>
      <c r="AD54" s="64">
        <v>3</v>
      </c>
      <c r="AE54" s="67">
        <v>15</v>
      </c>
      <c r="AF54" s="60">
        <v>18</v>
      </c>
      <c r="AG54" s="64">
        <v>2</v>
      </c>
      <c r="AH54" s="67">
        <v>6</v>
      </c>
      <c r="AI54" s="60">
        <v>8</v>
      </c>
      <c r="AJ54" s="64">
        <v>10</v>
      </c>
      <c r="AK54" s="67">
        <v>25</v>
      </c>
      <c r="AL54" s="60">
        <v>35</v>
      </c>
      <c r="AM54" s="64">
        <v>5</v>
      </c>
      <c r="AN54" s="67">
        <v>4</v>
      </c>
      <c r="AO54" s="60">
        <v>9</v>
      </c>
      <c r="AP54" s="64">
        <v>3</v>
      </c>
      <c r="AQ54" s="67">
        <v>15</v>
      </c>
      <c r="AR54" s="60">
        <v>18</v>
      </c>
      <c r="AS54" s="64">
        <v>2</v>
      </c>
      <c r="AT54" s="67">
        <v>6</v>
      </c>
      <c r="AU54" s="60">
        <v>8</v>
      </c>
      <c r="AV54" s="64">
        <v>5267</v>
      </c>
      <c r="AW54" s="67">
        <v>8027</v>
      </c>
      <c r="AX54" s="60">
        <v>13294</v>
      </c>
      <c r="AY54" s="64">
        <v>3299</v>
      </c>
      <c r="AZ54" s="67">
        <v>4668</v>
      </c>
      <c r="BA54" s="60">
        <v>7967</v>
      </c>
      <c r="BB54" s="64">
        <v>1443</v>
      </c>
      <c r="BC54" s="67">
        <v>2261</v>
      </c>
      <c r="BD54" s="60">
        <v>3704</v>
      </c>
      <c r="BE54" s="64">
        <v>525</v>
      </c>
      <c r="BF54" s="67">
        <v>1098</v>
      </c>
      <c r="BG54" s="60">
        <v>1623</v>
      </c>
      <c r="BH54" s="64">
        <v>306</v>
      </c>
      <c r="BI54" s="67">
        <v>377</v>
      </c>
      <c r="BJ54" s="60">
        <v>683</v>
      </c>
      <c r="BK54" s="64">
        <v>157</v>
      </c>
      <c r="BL54" s="67">
        <v>140</v>
      </c>
      <c r="BM54" s="60">
        <v>297</v>
      </c>
      <c r="BN54" s="64">
        <v>102</v>
      </c>
      <c r="BO54" s="67">
        <v>129</v>
      </c>
      <c r="BP54" s="60">
        <v>231</v>
      </c>
      <c r="BQ54" s="64">
        <v>47</v>
      </c>
      <c r="BR54" s="67">
        <v>108</v>
      </c>
      <c r="BS54" s="60">
        <v>155</v>
      </c>
      <c r="BT54" s="64">
        <v>0</v>
      </c>
      <c r="BU54" s="67">
        <v>0</v>
      </c>
      <c r="BV54" s="60">
        <v>0</v>
      </c>
      <c r="BW54" s="64">
        <v>0</v>
      </c>
      <c r="BX54" s="67">
        <v>0</v>
      </c>
      <c r="BY54" s="60">
        <v>0</v>
      </c>
      <c r="BZ54" s="64">
        <v>0</v>
      </c>
      <c r="CA54" s="67">
        <v>0</v>
      </c>
      <c r="CB54" s="60">
        <v>0</v>
      </c>
      <c r="CC54" s="64">
        <v>0</v>
      </c>
      <c r="CD54" s="67">
        <v>0</v>
      </c>
      <c r="CE54" s="60">
        <v>0</v>
      </c>
      <c r="CF54" s="64">
        <v>0</v>
      </c>
      <c r="CG54" s="67">
        <v>0</v>
      </c>
      <c r="CH54" s="60">
        <v>0</v>
      </c>
      <c r="CI54" s="64">
        <v>0</v>
      </c>
      <c r="CJ54" s="67">
        <v>0</v>
      </c>
      <c r="CK54" s="60">
        <v>0</v>
      </c>
      <c r="CL54" s="64">
        <v>0</v>
      </c>
      <c r="CM54" s="67">
        <v>0</v>
      </c>
      <c r="CN54" s="60">
        <v>0</v>
      </c>
      <c r="CO54" s="64">
        <v>0</v>
      </c>
      <c r="CP54" s="67">
        <v>0</v>
      </c>
      <c r="CQ54" s="60">
        <v>0</v>
      </c>
    </row>
    <row r="55" spans="2:95">
      <c r="B55" s="61" t="s">
        <v>25</v>
      </c>
      <c r="C55" s="64">
        <v>248</v>
      </c>
      <c r="D55" s="67">
        <v>263</v>
      </c>
      <c r="E55" s="60">
        <v>511</v>
      </c>
      <c r="F55" s="64">
        <v>72</v>
      </c>
      <c r="G55" s="67">
        <v>72</v>
      </c>
      <c r="H55" s="60">
        <v>144</v>
      </c>
      <c r="I55" s="64">
        <v>90</v>
      </c>
      <c r="J55" s="67">
        <v>72</v>
      </c>
      <c r="K55" s="60">
        <v>162</v>
      </c>
      <c r="L55" s="64">
        <v>86</v>
      </c>
      <c r="M55" s="67">
        <v>119</v>
      </c>
      <c r="N55" s="60">
        <v>205</v>
      </c>
      <c r="O55" s="64">
        <v>0</v>
      </c>
      <c r="P55" s="67">
        <v>0</v>
      </c>
      <c r="Q55" s="69"/>
      <c r="R55" s="64">
        <v>0</v>
      </c>
      <c r="S55" s="67">
        <v>0</v>
      </c>
      <c r="T55" s="69"/>
      <c r="U55" s="64">
        <v>0</v>
      </c>
      <c r="V55" s="67">
        <v>0</v>
      </c>
      <c r="W55" s="69"/>
      <c r="X55" s="64">
        <v>31</v>
      </c>
      <c r="Y55" s="67">
        <v>65</v>
      </c>
      <c r="Z55" s="60">
        <v>96</v>
      </c>
      <c r="AA55" s="64">
        <v>10</v>
      </c>
      <c r="AB55" s="67">
        <v>11</v>
      </c>
      <c r="AC55" s="60">
        <v>21</v>
      </c>
      <c r="AD55" s="64">
        <v>15</v>
      </c>
      <c r="AE55" s="67">
        <v>14</v>
      </c>
      <c r="AF55" s="60">
        <v>29</v>
      </c>
      <c r="AG55" s="64">
        <v>6</v>
      </c>
      <c r="AH55" s="67">
        <v>40</v>
      </c>
      <c r="AI55" s="60">
        <v>46</v>
      </c>
      <c r="AJ55" s="64">
        <v>31</v>
      </c>
      <c r="AK55" s="67">
        <v>64</v>
      </c>
      <c r="AL55" s="60">
        <v>95</v>
      </c>
      <c r="AM55" s="64">
        <v>10</v>
      </c>
      <c r="AN55" s="67">
        <v>11</v>
      </c>
      <c r="AO55" s="60">
        <v>21</v>
      </c>
      <c r="AP55" s="64">
        <v>15</v>
      </c>
      <c r="AQ55" s="67">
        <v>14</v>
      </c>
      <c r="AR55" s="60">
        <v>29</v>
      </c>
      <c r="AS55" s="64">
        <v>6</v>
      </c>
      <c r="AT55" s="67">
        <v>39</v>
      </c>
      <c r="AU55" s="60">
        <v>45</v>
      </c>
      <c r="AV55" s="64">
        <v>7036</v>
      </c>
      <c r="AW55" s="67">
        <v>10704</v>
      </c>
      <c r="AX55" s="60">
        <v>17740</v>
      </c>
      <c r="AY55" s="64">
        <v>4363</v>
      </c>
      <c r="AZ55" s="67">
        <v>6742</v>
      </c>
      <c r="BA55" s="60">
        <v>11105</v>
      </c>
      <c r="BB55" s="64">
        <v>1921</v>
      </c>
      <c r="BC55" s="67">
        <v>2831</v>
      </c>
      <c r="BD55" s="60">
        <v>4752</v>
      </c>
      <c r="BE55" s="64">
        <v>752</v>
      </c>
      <c r="BF55" s="67">
        <v>1131</v>
      </c>
      <c r="BG55" s="60">
        <v>1883</v>
      </c>
      <c r="BH55" s="64">
        <v>359</v>
      </c>
      <c r="BI55" s="67">
        <v>451</v>
      </c>
      <c r="BJ55" s="60">
        <v>810</v>
      </c>
      <c r="BK55" s="64">
        <v>158</v>
      </c>
      <c r="BL55" s="67">
        <v>167</v>
      </c>
      <c r="BM55" s="60">
        <v>325</v>
      </c>
      <c r="BN55" s="64">
        <v>133</v>
      </c>
      <c r="BO55" s="67">
        <v>156</v>
      </c>
      <c r="BP55" s="60">
        <v>289</v>
      </c>
      <c r="BQ55" s="64">
        <v>68</v>
      </c>
      <c r="BR55" s="67">
        <v>128</v>
      </c>
      <c r="BS55" s="60">
        <v>196</v>
      </c>
      <c r="BT55" s="64">
        <v>0</v>
      </c>
      <c r="BU55" s="67">
        <v>0</v>
      </c>
      <c r="BV55" s="60">
        <v>0</v>
      </c>
      <c r="BW55" s="64">
        <v>0</v>
      </c>
      <c r="BX55" s="67">
        <v>0</v>
      </c>
      <c r="BY55" s="60">
        <v>0</v>
      </c>
      <c r="BZ55" s="64">
        <v>0</v>
      </c>
      <c r="CA55" s="67">
        <v>0</v>
      </c>
      <c r="CB55" s="60">
        <v>0</v>
      </c>
      <c r="CC55" s="64">
        <v>0</v>
      </c>
      <c r="CD55" s="67">
        <v>0</v>
      </c>
      <c r="CE55" s="60">
        <v>0</v>
      </c>
      <c r="CF55" s="64">
        <v>0</v>
      </c>
      <c r="CG55" s="67">
        <v>0</v>
      </c>
      <c r="CH55" s="60">
        <v>0</v>
      </c>
      <c r="CI55" s="64">
        <v>0</v>
      </c>
      <c r="CJ55" s="67">
        <v>0</v>
      </c>
      <c r="CK55" s="60">
        <v>0</v>
      </c>
      <c r="CL55" s="64">
        <v>0</v>
      </c>
      <c r="CM55" s="67">
        <v>0</v>
      </c>
      <c r="CN55" s="60">
        <v>0</v>
      </c>
      <c r="CO55" s="64">
        <v>0</v>
      </c>
      <c r="CP55" s="67">
        <v>0</v>
      </c>
      <c r="CQ55" s="60">
        <v>0</v>
      </c>
    </row>
  </sheetData>
  <sheetProtection algorithmName="SHA-512" hashValue="14iXJqulI1ezekcq3GLLyM8p/GENnv83fwaasy1nasRUZdUYJZuHikaVIiN2E5mlDyFWugQMIwrLoVaeUrMkUQ==" saltValue="xJ+z6juGm7Ao+QZ7IdrilQ==" spinCount="100000" sheet="1" objects="1" scenarios="1" selectLockedCells="1" selectUnlockedCells="1"/>
  <mergeCells count="39">
    <mergeCell ref="R3:T3"/>
    <mergeCell ref="F3:H3"/>
    <mergeCell ref="O2:W2"/>
    <mergeCell ref="C3:E3"/>
    <mergeCell ref="I3:K3"/>
    <mergeCell ref="L3:N3"/>
    <mergeCell ref="C2:N2"/>
    <mergeCell ref="O3:Q3"/>
    <mergeCell ref="U3:W3"/>
    <mergeCell ref="CF3:CH3"/>
    <mergeCell ref="BK3:BM3"/>
    <mergeCell ref="BN3:BP3"/>
    <mergeCell ref="X2:AI2"/>
    <mergeCell ref="X3:Z3"/>
    <mergeCell ref="AA3:AC3"/>
    <mergeCell ref="AD3:AF3"/>
    <mergeCell ref="AG3:AI3"/>
    <mergeCell ref="BB3:BD3"/>
    <mergeCell ref="BE3:BG3"/>
    <mergeCell ref="BH3:BJ3"/>
    <mergeCell ref="BW3:BY3"/>
    <mergeCell ref="BZ3:CB3"/>
    <mergeCell ref="AV2:BG2"/>
    <mergeCell ref="CI3:CK3"/>
    <mergeCell ref="CL3:CN3"/>
    <mergeCell ref="AJ2:AU2"/>
    <mergeCell ref="AJ3:AL3"/>
    <mergeCell ref="AM3:AO3"/>
    <mergeCell ref="AP3:AR3"/>
    <mergeCell ref="AS3:AU3"/>
    <mergeCell ref="BH2:BS2"/>
    <mergeCell ref="BT2:CE2"/>
    <mergeCell ref="CF2:CQ2"/>
    <mergeCell ref="CO3:CQ3"/>
    <mergeCell ref="BQ3:BS3"/>
    <mergeCell ref="BT3:BV3"/>
    <mergeCell ref="AV3:AX3"/>
    <mergeCell ref="AY3:BA3"/>
    <mergeCell ref="CC3:CE3"/>
  </mergeCells>
  <phoneticPr fontId="16" type="noConversion"/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B8B5E-F536-CB48-8035-4E7F997E9DC5}">
  <dimension ref="B1:BL53"/>
  <sheetViews>
    <sheetView topLeftCell="AZ48" workbookViewId="0">
      <selection activeCell="BL53" sqref="C4:BL53"/>
    </sheetView>
  </sheetViews>
  <sheetFormatPr defaultColWidth="9.140625" defaultRowHeight="24"/>
  <cols>
    <col min="1" max="1" width="9.140625" style="153"/>
    <col min="2" max="2" width="21.140625" style="152" customWidth="1"/>
    <col min="3" max="3" width="23.42578125" style="153" customWidth="1"/>
    <col min="4" max="4" width="9.140625" style="153"/>
    <col min="5" max="5" width="21" style="153" customWidth="1"/>
    <col min="6" max="6" width="9.140625" style="153"/>
    <col min="7" max="7" width="16.5703125" style="153" customWidth="1"/>
    <col min="8" max="8" width="9.140625" style="153"/>
    <col min="9" max="9" width="17" style="153" customWidth="1"/>
    <col min="10" max="16384" width="9.140625" style="153"/>
  </cols>
  <sheetData>
    <row r="1" spans="2:64">
      <c r="B1" s="152">
        <v>1</v>
      </c>
    </row>
    <row r="2" spans="2:64" ht="24.75" thickBot="1">
      <c r="B2" s="154" t="s">
        <v>85</v>
      </c>
      <c r="C2" s="153" t="s">
        <v>454</v>
      </c>
      <c r="D2" s="153" t="s">
        <v>455</v>
      </c>
      <c r="E2" s="153" t="s">
        <v>456</v>
      </c>
      <c r="F2" s="153" t="s">
        <v>455</v>
      </c>
      <c r="G2" s="153" t="s">
        <v>457</v>
      </c>
      <c r="H2" s="153" t="s">
        <v>455</v>
      </c>
      <c r="I2" s="153" t="s">
        <v>458</v>
      </c>
      <c r="J2" s="153" t="s">
        <v>455</v>
      </c>
      <c r="K2" s="153" t="s">
        <v>459</v>
      </c>
      <c r="L2" s="153" t="s">
        <v>455</v>
      </c>
      <c r="M2" s="153" t="s">
        <v>460</v>
      </c>
      <c r="N2" s="153" t="s">
        <v>455</v>
      </c>
      <c r="O2" s="153" t="s">
        <v>461</v>
      </c>
      <c r="P2" s="153" t="s">
        <v>455</v>
      </c>
      <c r="Q2" s="153" t="s">
        <v>462</v>
      </c>
      <c r="R2" s="153" t="s">
        <v>455</v>
      </c>
      <c r="S2" s="153" t="s">
        <v>463</v>
      </c>
      <c r="T2" s="153" t="s">
        <v>455</v>
      </c>
      <c r="U2" s="153" t="s">
        <v>464</v>
      </c>
      <c r="V2" s="153" t="s">
        <v>455</v>
      </c>
      <c r="W2" s="153" t="s">
        <v>465</v>
      </c>
      <c r="X2" s="153" t="s">
        <v>455</v>
      </c>
      <c r="Y2" s="153" t="s">
        <v>472</v>
      </c>
      <c r="Z2" s="153" t="s">
        <v>455</v>
      </c>
      <c r="AA2" s="153" t="s">
        <v>473</v>
      </c>
      <c r="AB2" s="153" t="s">
        <v>455</v>
      </c>
      <c r="AC2" s="153" t="s">
        <v>549</v>
      </c>
      <c r="AD2" s="153" t="s">
        <v>455</v>
      </c>
      <c r="AE2" s="153" t="s">
        <v>550</v>
      </c>
      <c r="AF2" s="153" t="s">
        <v>455</v>
      </c>
      <c r="AG2" s="153" t="s">
        <v>551</v>
      </c>
      <c r="AH2" s="153" t="s">
        <v>455</v>
      </c>
      <c r="AI2" s="153" t="s">
        <v>552</v>
      </c>
      <c r="AJ2" s="153" t="s">
        <v>455</v>
      </c>
      <c r="AK2" s="153" t="s">
        <v>553</v>
      </c>
      <c r="AL2" s="153" t="s">
        <v>455</v>
      </c>
      <c r="AM2" s="153" t="s">
        <v>554</v>
      </c>
      <c r="AN2" s="153" t="s">
        <v>455</v>
      </c>
      <c r="AO2" s="153" t="s">
        <v>555</v>
      </c>
      <c r="AP2" s="153" t="s">
        <v>455</v>
      </c>
      <c r="AQ2" s="153" t="s">
        <v>556</v>
      </c>
      <c r="AR2" s="153" t="s">
        <v>455</v>
      </c>
      <c r="AS2" s="153" t="s">
        <v>557</v>
      </c>
      <c r="AT2" s="153" t="s">
        <v>455</v>
      </c>
      <c r="AU2" s="153" t="s">
        <v>558</v>
      </c>
      <c r="AV2" s="153" t="s">
        <v>455</v>
      </c>
      <c r="AW2" s="153" t="s">
        <v>559</v>
      </c>
      <c r="AX2" s="153" t="s">
        <v>455</v>
      </c>
      <c r="AY2" s="153" t="s">
        <v>560</v>
      </c>
      <c r="AZ2" s="153" t="s">
        <v>455</v>
      </c>
      <c r="BA2" s="153" t="s">
        <v>561</v>
      </c>
      <c r="BB2" s="153" t="s">
        <v>455</v>
      </c>
      <c r="BC2" s="153" t="s">
        <v>562</v>
      </c>
      <c r="BD2" s="153" t="s">
        <v>455</v>
      </c>
      <c r="BE2" s="153" t="s">
        <v>563</v>
      </c>
      <c r="BF2" s="153" t="s">
        <v>455</v>
      </c>
      <c r="BG2" s="153" t="s">
        <v>564</v>
      </c>
      <c r="BH2" s="153" t="s">
        <v>455</v>
      </c>
      <c r="BI2" s="153" t="s">
        <v>565</v>
      </c>
      <c r="BJ2" s="153" t="s">
        <v>455</v>
      </c>
      <c r="BK2" s="153" t="s">
        <v>566</v>
      </c>
      <c r="BL2" s="153" t="s">
        <v>455</v>
      </c>
    </row>
    <row r="3" spans="2:64" ht="24.75" thickBot="1">
      <c r="B3" s="155" t="s">
        <v>418</v>
      </c>
    </row>
    <row r="4" spans="2:64" ht="144">
      <c r="B4" s="156" t="s">
        <v>18</v>
      </c>
      <c r="C4" s="153" t="s">
        <v>466</v>
      </c>
      <c r="D4" s="153">
        <v>32</v>
      </c>
      <c r="E4" s="153" t="s">
        <v>467</v>
      </c>
      <c r="F4" s="153">
        <v>36</v>
      </c>
      <c r="G4" s="153" t="s">
        <v>468</v>
      </c>
      <c r="H4" s="153">
        <v>41</v>
      </c>
      <c r="I4" s="153" t="s">
        <v>469</v>
      </c>
      <c r="J4" s="153">
        <v>33</v>
      </c>
      <c r="K4" s="153" t="s">
        <v>470</v>
      </c>
      <c r="L4" s="153">
        <v>31</v>
      </c>
      <c r="M4" s="153" t="s">
        <v>471</v>
      </c>
      <c r="N4" s="153">
        <v>40</v>
      </c>
      <c r="O4" s="153">
        <v>0</v>
      </c>
      <c r="P4" s="153">
        <v>0</v>
      </c>
      <c r="Q4" s="153">
        <v>0</v>
      </c>
      <c r="R4" s="153">
        <v>0</v>
      </c>
      <c r="S4" s="153">
        <v>0</v>
      </c>
      <c r="T4" s="153">
        <v>0</v>
      </c>
      <c r="U4" s="153">
        <v>0</v>
      </c>
      <c r="V4" s="153">
        <v>0</v>
      </c>
      <c r="W4" s="153">
        <v>0</v>
      </c>
      <c r="X4" s="153">
        <v>0</v>
      </c>
    </row>
    <row r="5" spans="2:64" ht="168">
      <c r="B5" s="157" t="s">
        <v>33</v>
      </c>
      <c r="C5" s="153" t="s">
        <v>474</v>
      </c>
      <c r="D5" s="153">
        <v>78</v>
      </c>
      <c r="E5" s="153" t="s">
        <v>475</v>
      </c>
      <c r="F5" s="153">
        <v>131</v>
      </c>
      <c r="G5" s="153" t="s">
        <v>105</v>
      </c>
      <c r="H5" s="153">
        <v>33</v>
      </c>
      <c r="I5" s="153" t="s">
        <v>107</v>
      </c>
      <c r="J5" s="153">
        <v>30</v>
      </c>
      <c r="K5" s="153" t="s">
        <v>109</v>
      </c>
      <c r="L5" s="153">
        <v>33</v>
      </c>
      <c r="M5" s="153" t="s">
        <v>476</v>
      </c>
      <c r="N5" s="153">
        <v>30</v>
      </c>
      <c r="O5" s="153" t="s">
        <v>477</v>
      </c>
      <c r="P5" s="153">
        <v>32</v>
      </c>
      <c r="Q5" s="153" t="s">
        <v>112</v>
      </c>
      <c r="R5" s="153">
        <v>30</v>
      </c>
      <c r="S5" s="153" t="s">
        <v>478</v>
      </c>
      <c r="T5" s="153">
        <v>30</v>
      </c>
      <c r="U5" s="153" t="s">
        <v>479</v>
      </c>
      <c r="V5" s="153">
        <v>30</v>
      </c>
      <c r="W5" s="153" t="s">
        <v>480</v>
      </c>
      <c r="X5" s="153">
        <v>33</v>
      </c>
      <c r="Y5" s="153" t="s">
        <v>113</v>
      </c>
      <c r="Z5" s="153">
        <v>0</v>
      </c>
      <c r="AA5" s="153" t="s">
        <v>481</v>
      </c>
      <c r="AB5" s="153">
        <v>0</v>
      </c>
    </row>
    <row r="6" spans="2:64">
      <c r="B6" s="157" t="s">
        <v>34</v>
      </c>
    </row>
    <row r="7" spans="2:64" ht="48">
      <c r="B7" s="157" t="s">
        <v>35</v>
      </c>
      <c r="C7" s="153" t="s">
        <v>118</v>
      </c>
      <c r="D7" s="153">
        <v>40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3">
        <v>0</v>
      </c>
      <c r="Q7" s="153">
        <v>0</v>
      </c>
      <c r="R7" s="153">
        <v>0</v>
      </c>
      <c r="S7" s="153">
        <v>0</v>
      </c>
      <c r="T7" s="153">
        <v>0</v>
      </c>
      <c r="U7" s="153">
        <v>0</v>
      </c>
      <c r="V7" s="153">
        <v>0</v>
      </c>
      <c r="W7" s="153">
        <v>0</v>
      </c>
      <c r="X7" s="153">
        <v>0</v>
      </c>
      <c r="Y7" s="153">
        <v>0</v>
      </c>
      <c r="Z7" s="153">
        <v>0</v>
      </c>
      <c r="AA7" s="153">
        <v>0</v>
      </c>
      <c r="AB7" s="153">
        <v>0</v>
      </c>
    </row>
    <row r="8" spans="2:64" ht="25.5">
      <c r="B8" s="157" t="s">
        <v>29</v>
      </c>
      <c r="C8" s="158" t="s">
        <v>482</v>
      </c>
      <c r="D8" s="153">
        <v>40</v>
      </c>
    </row>
    <row r="9" spans="2:64" ht="48">
      <c r="B9" s="157" t="s">
        <v>36</v>
      </c>
      <c r="C9" s="153" t="s">
        <v>483</v>
      </c>
      <c r="D9" s="153">
        <v>249</v>
      </c>
      <c r="E9" s="153" t="s">
        <v>484</v>
      </c>
      <c r="F9" s="153">
        <v>130</v>
      </c>
      <c r="G9" s="153" t="s">
        <v>485</v>
      </c>
      <c r="H9" s="153">
        <v>37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0</v>
      </c>
      <c r="W9" s="153">
        <v>0</v>
      </c>
      <c r="X9" s="153">
        <v>0</v>
      </c>
      <c r="Y9" s="153">
        <v>0</v>
      </c>
      <c r="Z9" s="153">
        <v>0</v>
      </c>
      <c r="AA9" s="153">
        <v>0</v>
      </c>
      <c r="AB9" s="153">
        <v>0</v>
      </c>
    </row>
    <row r="10" spans="2:64">
      <c r="B10" s="157" t="s">
        <v>37</v>
      </c>
    </row>
    <row r="11" spans="2:64">
      <c r="B11" s="157" t="s">
        <v>38</v>
      </c>
    </row>
    <row r="12" spans="2:64" ht="144">
      <c r="B12" s="157" t="s">
        <v>39</v>
      </c>
      <c r="C12" s="153" t="s">
        <v>125</v>
      </c>
      <c r="D12" s="153">
        <v>432</v>
      </c>
      <c r="E12" s="153" t="s">
        <v>126</v>
      </c>
      <c r="F12" s="153">
        <v>71</v>
      </c>
      <c r="G12" s="153" t="s">
        <v>486</v>
      </c>
      <c r="H12" s="153">
        <v>37</v>
      </c>
      <c r="I12" s="153" t="s">
        <v>128</v>
      </c>
      <c r="J12" s="153">
        <v>65</v>
      </c>
      <c r="K12" s="153" t="s">
        <v>127</v>
      </c>
      <c r="L12" s="153">
        <v>100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</row>
    <row r="13" spans="2:64" ht="48">
      <c r="B13" s="157" t="s">
        <v>40</v>
      </c>
      <c r="C13" s="153" t="s">
        <v>487</v>
      </c>
      <c r="D13" s="153">
        <v>44</v>
      </c>
      <c r="E13" s="153" t="s">
        <v>488</v>
      </c>
      <c r="F13" s="153">
        <v>162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</row>
    <row r="14" spans="2:64">
      <c r="B14" s="157" t="s">
        <v>41</v>
      </c>
      <c r="C14" s="153" t="s">
        <v>489</v>
      </c>
      <c r="D14" s="153">
        <v>250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</row>
    <row r="15" spans="2:64" ht="96">
      <c r="B15" s="157" t="s">
        <v>42</v>
      </c>
      <c r="C15" s="153" t="s">
        <v>132</v>
      </c>
      <c r="D15" s="153">
        <v>68</v>
      </c>
      <c r="E15" s="153" t="s">
        <v>133</v>
      </c>
      <c r="F15" s="153">
        <v>39</v>
      </c>
      <c r="G15" s="153" t="s">
        <v>134</v>
      </c>
      <c r="H15" s="153">
        <v>45</v>
      </c>
      <c r="I15" s="153" t="s">
        <v>135</v>
      </c>
      <c r="J15" s="153">
        <v>118</v>
      </c>
      <c r="K15" s="153" t="s">
        <v>136</v>
      </c>
      <c r="L15" s="153">
        <v>62</v>
      </c>
      <c r="M15" s="153" t="s">
        <v>137</v>
      </c>
      <c r="N15" s="153">
        <v>99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</row>
    <row r="16" spans="2:64">
      <c r="B16" s="157" t="s">
        <v>43</v>
      </c>
    </row>
    <row r="17" spans="2:64" ht="96">
      <c r="B17" s="157" t="s">
        <v>44</v>
      </c>
      <c r="C17" s="153" t="s">
        <v>144</v>
      </c>
      <c r="D17" s="153">
        <v>125</v>
      </c>
      <c r="E17" s="153" t="s">
        <v>145</v>
      </c>
      <c r="F17" s="153">
        <v>240</v>
      </c>
      <c r="G17" s="153" t="s">
        <v>490</v>
      </c>
      <c r="H17" s="153">
        <v>214</v>
      </c>
      <c r="I17" s="153" t="s">
        <v>491</v>
      </c>
      <c r="J17" s="153">
        <v>30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0</v>
      </c>
      <c r="AB17" s="153">
        <v>0</v>
      </c>
    </row>
    <row r="18" spans="2:64">
      <c r="B18" s="157" t="s">
        <v>45</v>
      </c>
    </row>
    <row r="19" spans="2:64" ht="96">
      <c r="B19" s="157" t="s">
        <v>46</v>
      </c>
      <c r="C19" s="153" t="s">
        <v>161</v>
      </c>
      <c r="D19" s="153">
        <v>85</v>
      </c>
      <c r="E19" s="153" t="s">
        <v>162</v>
      </c>
      <c r="F19" s="153">
        <v>60</v>
      </c>
      <c r="G19" s="153" t="s">
        <v>492</v>
      </c>
      <c r="H19" s="153">
        <v>65</v>
      </c>
      <c r="I19" s="153" t="s">
        <v>493</v>
      </c>
      <c r="J19" s="153">
        <v>60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0</v>
      </c>
      <c r="AB19" s="153">
        <v>0</v>
      </c>
    </row>
    <row r="20" spans="2:64" ht="48">
      <c r="B20" s="157" t="s">
        <v>47</v>
      </c>
      <c r="C20" s="153" t="s">
        <v>494</v>
      </c>
      <c r="D20" s="153">
        <v>68</v>
      </c>
      <c r="E20" s="153" t="s">
        <v>495</v>
      </c>
      <c r="F20" s="153">
        <v>98</v>
      </c>
      <c r="G20" s="153" t="s">
        <v>496</v>
      </c>
      <c r="H20" s="153">
        <v>80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153">
        <v>0</v>
      </c>
    </row>
    <row r="21" spans="2:64" ht="144">
      <c r="B21" s="157" t="s">
        <v>49</v>
      </c>
      <c r="C21" s="153" t="s">
        <v>497</v>
      </c>
      <c r="D21" s="153">
        <v>129</v>
      </c>
      <c r="E21" s="153" t="s">
        <v>498</v>
      </c>
      <c r="F21" s="153">
        <v>63</v>
      </c>
      <c r="G21" s="153" t="s">
        <v>169</v>
      </c>
      <c r="H21" s="153">
        <v>67</v>
      </c>
      <c r="I21" s="153" t="s">
        <v>170</v>
      </c>
      <c r="J21" s="153">
        <v>65</v>
      </c>
      <c r="K21" s="153" t="s">
        <v>499</v>
      </c>
      <c r="L21" s="153">
        <v>166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153">
        <v>0</v>
      </c>
    </row>
    <row r="22" spans="2:64">
      <c r="B22" s="157" t="s">
        <v>48</v>
      </c>
    </row>
    <row r="23" spans="2:64" ht="72">
      <c r="B23" s="157" t="s">
        <v>73</v>
      </c>
      <c r="C23" s="153" t="s">
        <v>500</v>
      </c>
      <c r="D23" s="153">
        <v>50</v>
      </c>
      <c r="E23" s="153" t="s">
        <v>501</v>
      </c>
      <c r="F23" s="153">
        <v>100</v>
      </c>
      <c r="G23" s="153" t="s">
        <v>502</v>
      </c>
      <c r="H23" s="153">
        <v>30</v>
      </c>
      <c r="I23" s="153" t="s">
        <v>503</v>
      </c>
      <c r="J23" s="153">
        <v>50</v>
      </c>
      <c r="K23" s="153" t="s">
        <v>504</v>
      </c>
      <c r="L23" s="153">
        <v>50</v>
      </c>
      <c r="M23" s="153" t="s">
        <v>505</v>
      </c>
      <c r="N23" s="153">
        <v>26</v>
      </c>
      <c r="O23" s="153" t="s">
        <v>506</v>
      </c>
      <c r="P23" s="153">
        <v>25</v>
      </c>
      <c r="Q23" s="153" t="s">
        <v>507</v>
      </c>
      <c r="R23" s="153">
        <v>22</v>
      </c>
      <c r="S23" s="153" t="s">
        <v>508</v>
      </c>
      <c r="T23" s="153">
        <v>20</v>
      </c>
      <c r="U23" s="153" t="s">
        <v>509</v>
      </c>
      <c r="V23" s="153">
        <v>25</v>
      </c>
      <c r="W23" s="153" t="s">
        <v>510</v>
      </c>
      <c r="X23" s="153">
        <v>20</v>
      </c>
      <c r="Y23" s="153" t="s">
        <v>511</v>
      </c>
      <c r="Z23" s="153">
        <v>300</v>
      </c>
      <c r="AA23" s="153">
        <v>0</v>
      </c>
      <c r="AB23" s="153">
        <v>0</v>
      </c>
    </row>
    <row r="24" spans="2:64" ht="48">
      <c r="B24" s="157" t="s">
        <v>72</v>
      </c>
      <c r="C24" s="153" t="s">
        <v>184</v>
      </c>
      <c r="D24" s="153">
        <v>30</v>
      </c>
      <c r="E24" s="153" t="s">
        <v>186</v>
      </c>
      <c r="F24" s="153">
        <v>36</v>
      </c>
      <c r="G24" s="153" t="s">
        <v>188</v>
      </c>
      <c r="H24" s="153">
        <v>35</v>
      </c>
      <c r="I24" s="153" t="s">
        <v>189</v>
      </c>
      <c r="J24" s="153">
        <v>30</v>
      </c>
      <c r="K24" s="153" t="s">
        <v>512</v>
      </c>
      <c r="L24" s="153">
        <v>46</v>
      </c>
      <c r="M24" s="153" t="s">
        <v>513</v>
      </c>
      <c r="N24" s="153">
        <v>30</v>
      </c>
      <c r="O24" s="153" t="s">
        <v>192</v>
      </c>
      <c r="P24" s="153">
        <v>25</v>
      </c>
      <c r="Q24" s="153" t="s">
        <v>195</v>
      </c>
      <c r="R24" s="153">
        <v>35</v>
      </c>
      <c r="S24" s="153" t="s">
        <v>514</v>
      </c>
      <c r="T24" s="153">
        <v>150</v>
      </c>
      <c r="U24" s="153">
        <v>0</v>
      </c>
      <c r="V24" s="153">
        <v>0</v>
      </c>
      <c r="W24" s="153">
        <v>0</v>
      </c>
      <c r="X24" s="153">
        <v>0</v>
      </c>
      <c r="Y24" s="153">
        <v>0</v>
      </c>
      <c r="Z24" s="153">
        <v>0</v>
      </c>
      <c r="AA24" s="153">
        <v>0</v>
      </c>
      <c r="AB24" s="153">
        <v>0</v>
      </c>
    </row>
    <row r="25" spans="2:64">
      <c r="B25" s="157" t="s">
        <v>71</v>
      </c>
      <c r="C25" s="153" t="s">
        <v>515</v>
      </c>
      <c r="D25" s="153">
        <v>56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  <c r="AA25" s="153">
        <v>0</v>
      </c>
      <c r="AB25" s="153">
        <v>0</v>
      </c>
    </row>
    <row r="26" spans="2:64" ht="168">
      <c r="B26" s="157" t="s">
        <v>70</v>
      </c>
      <c r="C26" s="153" t="s">
        <v>199</v>
      </c>
      <c r="D26" s="153">
        <v>87</v>
      </c>
      <c r="E26" s="153" t="s">
        <v>200</v>
      </c>
      <c r="F26" s="153">
        <v>40</v>
      </c>
      <c r="G26" s="153" t="s">
        <v>201</v>
      </c>
      <c r="H26" s="153">
        <v>61</v>
      </c>
      <c r="I26" s="153" t="s">
        <v>202</v>
      </c>
      <c r="J26" s="153">
        <v>148</v>
      </c>
      <c r="K26" s="153" t="s">
        <v>203</v>
      </c>
      <c r="L26" s="153">
        <v>124</v>
      </c>
      <c r="M26" s="153" t="s">
        <v>204</v>
      </c>
      <c r="N26" s="153">
        <v>212</v>
      </c>
      <c r="O26" s="153" t="s">
        <v>516</v>
      </c>
      <c r="P26" s="153">
        <v>41</v>
      </c>
      <c r="Q26" s="153" t="s">
        <v>206</v>
      </c>
      <c r="R26" s="153">
        <v>148</v>
      </c>
      <c r="S26" s="153" t="s">
        <v>517</v>
      </c>
      <c r="T26" s="153">
        <v>57</v>
      </c>
      <c r="U26" s="153" t="s">
        <v>208</v>
      </c>
      <c r="V26" s="153">
        <v>169</v>
      </c>
      <c r="W26" s="153" t="s">
        <v>209</v>
      </c>
      <c r="X26" s="153">
        <v>140</v>
      </c>
      <c r="Y26" s="153" t="s">
        <v>518</v>
      </c>
      <c r="Z26" s="153">
        <v>109</v>
      </c>
      <c r="AA26" s="153">
        <v>0</v>
      </c>
      <c r="AB26" s="153">
        <v>0</v>
      </c>
    </row>
    <row r="27" spans="2:64" ht="72">
      <c r="B27" s="157" t="s">
        <v>69</v>
      </c>
      <c r="C27" s="153" t="s">
        <v>519</v>
      </c>
      <c r="D27" s="153">
        <v>118</v>
      </c>
      <c r="E27" s="153" t="s">
        <v>520</v>
      </c>
      <c r="F27" s="153">
        <v>79</v>
      </c>
      <c r="G27" s="153" t="s">
        <v>521</v>
      </c>
      <c r="H27" s="153">
        <v>40</v>
      </c>
      <c r="I27" s="153" t="s">
        <v>522</v>
      </c>
      <c r="J27" s="153">
        <v>310</v>
      </c>
      <c r="K27" s="153" t="s">
        <v>523</v>
      </c>
      <c r="L27" s="153">
        <v>89</v>
      </c>
      <c r="M27" s="153" t="s">
        <v>524</v>
      </c>
      <c r="N27" s="153">
        <v>169</v>
      </c>
      <c r="O27" s="153" t="s">
        <v>525</v>
      </c>
      <c r="P27" s="153">
        <v>168</v>
      </c>
      <c r="Q27" s="153" t="s">
        <v>526</v>
      </c>
      <c r="R27" s="153">
        <v>83</v>
      </c>
      <c r="S27" s="153" t="s">
        <v>527</v>
      </c>
      <c r="T27" s="153">
        <v>44</v>
      </c>
      <c r="U27" s="153" t="s">
        <v>528</v>
      </c>
      <c r="V27" s="153">
        <v>24</v>
      </c>
      <c r="W27" s="153" t="s">
        <v>529</v>
      </c>
      <c r="X27" s="153">
        <v>41</v>
      </c>
      <c r="Y27" s="153" t="s">
        <v>530</v>
      </c>
      <c r="Z27" s="153">
        <v>60</v>
      </c>
      <c r="AA27" s="153" t="s">
        <v>531</v>
      </c>
      <c r="AB27" s="153">
        <v>40</v>
      </c>
      <c r="AC27" s="153" t="s">
        <v>532</v>
      </c>
      <c r="AD27" s="153">
        <v>38</v>
      </c>
      <c r="AE27" s="153" t="s">
        <v>533</v>
      </c>
      <c r="AF27" s="153">
        <v>38</v>
      </c>
      <c r="AG27" s="153" t="s">
        <v>534</v>
      </c>
      <c r="AH27" s="153">
        <v>101</v>
      </c>
      <c r="AI27" s="153" t="s">
        <v>535</v>
      </c>
      <c r="AJ27" s="153">
        <v>50</v>
      </c>
      <c r="AK27" s="153" t="s">
        <v>536</v>
      </c>
      <c r="AL27" s="153">
        <v>87</v>
      </c>
      <c r="AM27" s="153" t="s">
        <v>537</v>
      </c>
      <c r="AN27" s="153">
        <v>93</v>
      </c>
      <c r="AO27" s="153" t="s">
        <v>538</v>
      </c>
      <c r="AP27" s="153">
        <v>160</v>
      </c>
      <c r="AQ27" s="153" t="s">
        <v>539</v>
      </c>
      <c r="AR27" s="153">
        <v>105</v>
      </c>
      <c r="AS27" s="153" t="s">
        <v>540</v>
      </c>
      <c r="AT27" s="153">
        <v>310</v>
      </c>
      <c r="AU27" s="153" t="s">
        <v>541</v>
      </c>
      <c r="AV27" s="153">
        <v>174</v>
      </c>
      <c r="AW27" s="153" t="s">
        <v>542</v>
      </c>
      <c r="AX27" s="153">
        <v>161</v>
      </c>
      <c r="AY27" s="153" t="s">
        <v>543</v>
      </c>
      <c r="AZ27" s="153">
        <v>60</v>
      </c>
      <c r="BA27" s="153" t="s">
        <v>544</v>
      </c>
      <c r="BB27" s="153">
        <v>30</v>
      </c>
      <c r="BC27" s="153" t="s">
        <v>545</v>
      </c>
      <c r="BD27" s="153">
        <v>152</v>
      </c>
      <c r="BE27" s="153" t="s">
        <v>546</v>
      </c>
      <c r="BF27" s="153">
        <v>60</v>
      </c>
      <c r="BG27" s="153" t="s">
        <v>547</v>
      </c>
      <c r="BH27" s="153">
        <v>20</v>
      </c>
      <c r="BI27" s="153" t="s">
        <v>548</v>
      </c>
      <c r="BJ27" s="153">
        <v>17</v>
      </c>
      <c r="BK27" s="153">
        <v>0</v>
      </c>
      <c r="BL27" s="153">
        <v>0</v>
      </c>
    </row>
    <row r="28" spans="2:64" ht="144">
      <c r="B28" s="157" t="s">
        <v>68</v>
      </c>
      <c r="C28" s="153" t="s">
        <v>567</v>
      </c>
      <c r="D28" s="153">
        <v>192</v>
      </c>
      <c r="E28" s="153" t="s">
        <v>212</v>
      </c>
      <c r="F28" s="153">
        <v>46</v>
      </c>
      <c r="G28" s="153" t="s">
        <v>568</v>
      </c>
      <c r="H28" s="153">
        <v>69</v>
      </c>
      <c r="I28" s="153" t="s">
        <v>214</v>
      </c>
      <c r="J28" s="153">
        <v>103</v>
      </c>
      <c r="K28" s="153" t="s">
        <v>215</v>
      </c>
      <c r="L28" s="153">
        <v>46</v>
      </c>
      <c r="M28" s="153" t="s">
        <v>216</v>
      </c>
      <c r="N28" s="153">
        <v>116</v>
      </c>
      <c r="O28" s="153" t="s">
        <v>217</v>
      </c>
      <c r="P28" s="153">
        <v>200</v>
      </c>
      <c r="Q28" s="153" t="s">
        <v>218</v>
      </c>
      <c r="R28" s="153">
        <v>59</v>
      </c>
      <c r="S28" s="153" t="s">
        <v>569</v>
      </c>
      <c r="T28" s="153">
        <v>142</v>
      </c>
      <c r="U28" s="153" t="s">
        <v>220</v>
      </c>
      <c r="V28" s="153">
        <v>80</v>
      </c>
      <c r="W28" s="153" t="s">
        <v>221</v>
      </c>
      <c r="X28" s="153">
        <v>63</v>
      </c>
      <c r="Y28" s="153">
        <v>0</v>
      </c>
      <c r="Z28" s="153">
        <v>0</v>
      </c>
      <c r="AA28" s="153">
        <v>0</v>
      </c>
      <c r="AB28" s="153">
        <v>0</v>
      </c>
      <c r="AC28" s="153">
        <v>0</v>
      </c>
      <c r="AD28" s="153">
        <v>0</v>
      </c>
      <c r="AE28" s="153">
        <v>0</v>
      </c>
      <c r="AF28" s="153">
        <v>0</v>
      </c>
      <c r="AG28" s="153">
        <v>0</v>
      </c>
      <c r="AH28" s="153">
        <v>0</v>
      </c>
      <c r="AI28" s="153">
        <v>0</v>
      </c>
      <c r="AJ28" s="153">
        <v>0</v>
      </c>
      <c r="AK28" s="153">
        <v>0</v>
      </c>
      <c r="AL28" s="153">
        <v>0</v>
      </c>
      <c r="AM28" s="153">
        <v>0</v>
      </c>
      <c r="AN28" s="153">
        <v>0</v>
      </c>
      <c r="AO28" s="153">
        <v>0</v>
      </c>
      <c r="AP28" s="153">
        <v>0</v>
      </c>
      <c r="AQ28" s="153">
        <v>0</v>
      </c>
      <c r="AR28" s="153">
        <v>0</v>
      </c>
      <c r="AS28" s="153">
        <v>0</v>
      </c>
      <c r="AT28" s="153">
        <v>0</v>
      </c>
      <c r="AU28" s="153">
        <v>0</v>
      </c>
      <c r="AV28" s="153">
        <v>0</v>
      </c>
      <c r="AW28" s="153">
        <v>0</v>
      </c>
      <c r="AX28" s="153">
        <v>0</v>
      </c>
      <c r="AY28" s="153">
        <v>0</v>
      </c>
      <c r="AZ28" s="153">
        <v>0</v>
      </c>
      <c r="BA28" s="153">
        <v>0</v>
      </c>
      <c r="BB28" s="153">
        <v>0</v>
      </c>
      <c r="BC28" s="153">
        <v>0</v>
      </c>
      <c r="BD28" s="153">
        <v>0</v>
      </c>
      <c r="BE28" s="153">
        <v>0</v>
      </c>
      <c r="BF28" s="153">
        <v>0</v>
      </c>
      <c r="BG28" s="153">
        <v>0</v>
      </c>
      <c r="BH28" s="153">
        <v>0</v>
      </c>
      <c r="BI28" s="153">
        <v>0</v>
      </c>
      <c r="BJ28" s="153">
        <v>0</v>
      </c>
      <c r="BK28" s="153">
        <v>0</v>
      </c>
      <c r="BL28" s="153">
        <v>0</v>
      </c>
    </row>
    <row r="29" spans="2:64" ht="120">
      <c r="B29" s="157" t="s">
        <v>67</v>
      </c>
      <c r="C29" s="153" t="s">
        <v>222</v>
      </c>
      <c r="D29" s="153">
        <v>150</v>
      </c>
      <c r="E29" s="153" t="s">
        <v>223</v>
      </c>
      <c r="F29" s="153">
        <v>75</v>
      </c>
      <c r="G29" s="153" t="s">
        <v>224</v>
      </c>
      <c r="H29" s="153">
        <v>226</v>
      </c>
      <c r="I29" s="153" t="s">
        <v>225</v>
      </c>
      <c r="J29" s="153">
        <v>252</v>
      </c>
      <c r="K29" s="153" t="s">
        <v>226</v>
      </c>
      <c r="L29" s="153">
        <v>54</v>
      </c>
      <c r="M29" s="153" t="s">
        <v>227</v>
      </c>
      <c r="N29" s="153">
        <v>60</v>
      </c>
      <c r="O29" s="153" t="s">
        <v>228</v>
      </c>
      <c r="P29" s="153">
        <v>20</v>
      </c>
      <c r="Q29" s="153" t="s">
        <v>229</v>
      </c>
      <c r="R29" s="153">
        <v>339</v>
      </c>
      <c r="S29" s="153" t="s">
        <v>230</v>
      </c>
      <c r="T29" s="153">
        <v>193</v>
      </c>
      <c r="U29" s="153" t="s">
        <v>231</v>
      </c>
      <c r="V29" s="153">
        <v>134</v>
      </c>
      <c r="W29" s="153" t="s">
        <v>232</v>
      </c>
      <c r="X29" s="153">
        <v>98</v>
      </c>
      <c r="Y29" s="153" t="s">
        <v>233</v>
      </c>
      <c r="Z29" s="153">
        <v>85</v>
      </c>
      <c r="AA29" s="153" t="s">
        <v>234</v>
      </c>
      <c r="AB29" s="153">
        <v>160</v>
      </c>
      <c r="AC29" s="153" t="s">
        <v>235</v>
      </c>
      <c r="AD29" s="153">
        <v>165</v>
      </c>
      <c r="AE29" s="153">
        <v>0</v>
      </c>
      <c r="AF29" s="153">
        <v>0</v>
      </c>
      <c r="AG29" s="153">
        <v>0</v>
      </c>
      <c r="AH29" s="153">
        <v>0</v>
      </c>
      <c r="AI29" s="153">
        <v>0</v>
      </c>
      <c r="AJ29" s="153">
        <v>0</v>
      </c>
      <c r="AK29" s="153">
        <v>0</v>
      </c>
      <c r="AL29" s="153">
        <v>0</v>
      </c>
      <c r="AM29" s="153">
        <v>0</v>
      </c>
      <c r="AN29" s="153">
        <v>0</v>
      </c>
      <c r="AO29" s="153">
        <v>0</v>
      </c>
      <c r="AP29" s="153">
        <v>0</v>
      </c>
      <c r="AQ29" s="153">
        <v>0</v>
      </c>
      <c r="AR29" s="153">
        <v>0</v>
      </c>
      <c r="AS29" s="153">
        <v>0</v>
      </c>
      <c r="AT29" s="153">
        <v>0</v>
      </c>
      <c r="AU29" s="153">
        <v>0</v>
      </c>
      <c r="AV29" s="153">
        <v>0</v>
      </c>
      <c r="AW29" s="153">
        <v>0</v>
      </c>
      <c r="AX29" s="153">
        <v>0</v>
      </c>
      <c r="AY29" s="153">
        <v>0</v>
      </c>
      <c r="AZ29" s="153">
        <v>0</v>
      </c>
      <c r="BA29" s="153">
        <v>0</v>
      </c>
      <c r="BB29" s="153">
        <v>0</v>
      </c>
      <c r="BC29" s="153">
        <v>0</v>
      </c>
      <c r="BD29" s="153">
        <v>0</v>
      </c>
      <c r="BE29" s="153">
        <v>0</v>
      </c>
      <c r="BF29" s="153">
        <v>0</v>
      </c>
      <c r="BG29" s="153">
        <v>0</v>
      </c>
      <c r="BH29" s="153">
        <v>0</v>
      </c>
      <c r="BI29" s="153">
        <v>0</v>
      </c>
      <c r="BJ29" s="153">
        <v>0</v>
      </c>
      <c r="BK29" s="153">
        <v>0</v>
      </c>
      <c r="BL29" s="153">
        <v>0</v>
      </c>
    </row>
    <row r="30" spans="2:64" ht="48">
      <c r="B30" s="157" t="s">
        <v>66</v>
      </c>
      <c r="C30" s="153" t="s">
        <v>236</v>
      </c>
      <c r="D30" s="153">
        <v>80</v>
      </c>
      <c r="E30" s="153" t="s">
        <v>237</v>
      </c>
      <c r="F30" s="153">
        <v>67</v>
      </c>
      <c r="G30" s="153" t="s">
        <v>238</v>
      </c>
      <c r="H30" s="153">
        <v>30</v>
      </c>
      <c r="I30" s="153" t="s">
        <v>239</v>
      </c>
      <c r="J30" s="153">
        <v>50</v>
      </c>
      <c r="K30" s="153" t="s">
        <v>570</v>
      </c>
      <c r="L30" s="153">
        <v>35</v>
      </c>
      <c r="M30" s="153">
        <v>0</v>
      </c>
      <c r="N30" s="153">
        <v>0</v>
      </c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0</v>
      </c>
      <c r="W30" s="153">
        <v>0</v>
      </c>
      <c r="X30" s="153">
        <v>0</v>
      </c>
      <c r="Y30" s="153">
        <v>0</v>
      </c>
      <c r="Z30" s="153">
        <v>0</v>
      </c>
      <c r="AA30" s="153">
        <v>0</v>
      </c>
      <c r="AB30" s="153">
        <v>0</v>
      </c>
      <c r="AC30" s="153">
        <v>0</v>
      </c>
      <c r="AD30" s="153">
        <v>0</v>
      </c>
      <c r="AE30" s="153">
        <v>0</v>
      </c>
      <c r="AF30" s="153">
        <v>0</v>
      </c>
      <c r="AG30" s="153">
        <v>0</v>
      </c>
      <c r="AH30" s="153">
        <v>0</v>
      </c>
      <c r="AI30" s="153">
        <v>0</v>
      </c>
      <c r="AJ30" s="153">
        <v>0</v>
      </c>
      <c r="AK30" s="153">
        <v>0</v>
      </c>
      <c r="AL30" s="153">
        <v>0</v>
      </c>
      <c r="AM30" s="153">
        <v>0</v>
      </c>
      <c r="AN30" s="153">
        <v>0</v>
      </c>
      <c r="AO30" s="153">
        <v>0</v>
      </c>
      <c r="AP30" s="153">
        <v>0</v>
      </c>
      <c r="AQ30" s="153">
        <v>0</v>
      </c>
      <c r="AR30" s="153">
        <v>0</v>
      </c>
      <c r="AS30" s="153">
        <v>0</v>
      </c>
      <c r="AT30" s="153">
        <v>0</v>
      </c>
      <c r="AU30" s="153">
        <v>0</v>
      </c>
      <c r="AV30" s="153">
        <v>0</v>
      </c>
      <c r="AW30" s="153">
        <v>0</v>
      </c>
      <c r="AX30" s="153">
        <v>0</v>
      </c>
      <c r="AY30" s="153">
        <v>0</v>
      </c>
      <c r="AZ30" s="153">
        <v>0</v>
      </c>
      <c r="BA30" s="153">
        <v>0</v>
      </c>
      <c r="BB30" s="153">
        <v>0</v>
      </c>
      <c r="BC30" s="153">
        <v>0</v>
      </c>
      <c r="BD30" s="153">
        <v>0</v>
      </c>
      <c r="BE30" s="153">
        <v>0</v>
      </c>
      <c r="BF30" s="153">
        <v>0</v>
      </c>
      <c r="BG30" s="153">
        <v>0</v>
      </c>
      <c r="BH30" s="153">
        <v>0</v>
      </c>
      <c r="BI30" s="153">
        <v>0</v>
      </c>
      <c r="BJ30" s="153">
        <v>0</v>
      </c>
      <c r="BK30" s="153">
        <v>0</v>
      </c>
      <c r="BL30" s="153">
        <v>0</v>
      </c>
    </row>
    <row r="31" spans="2:64" ht="96">
      <c r="B31" s="157" t="s">
        <v>65</v>
      </c>
      <c r="C31" s="153" t="s">
        <v>241</v>
      </c>
      <c r="D31" s="153">
        <v>45</v>
      </c>
      <c r="E31" s="153" t="s">
        <v>571</v>
      </c>
      <c r="F31" s="153">
        <v>54</v>
      </c>
      <c r="G31" s="153" t="s">
        <v>572</v>
      </c>
      <c r="H31" s="153">
        <v>36</v>
      </c>
      <c r="I31" s="153" t="s">
        <v>244</v>
      </c>
      <c r="J31" s="153">
        <v>95</v>
      </c>
      <c r="K31" s="153" t="s">
        <v>573</v>
      </c>
      <c r="L31" s="153">
        <v>134</v>
      </c>
      <c r="M31" s="153" t="s">
        <v>246</v>
      </c>
      <c r="N31" s="153">
        <v>107</v>
      </c>
      <c r="O31" s="153" t="s">
        <v>574</v>
      </c>
      <c r="P31" s="153">
        <v>64</v>
      </c>
      <c r="Q31" s="153" t="s">
        <v>248</v>
      </c>
      <c r="R31" s="153">
        <v>51</v>
      </c>
      <c r="S31" s="153" t="s">
        <v>249</v>
      </c>
      <c r="T31" s="153">
        <v>154</v>
      </c>
      <c r="U31" s="153" t="s">
        <v>250</v>
      </c>
      <c r="V31" s="153">
        <v>35</v>
      </c>
      <c r="W31" s="153" t="s">
        <v>251</v>
      </c>
      <c r="X31" s="153">
        <v>30</v>
      </c>
      <c r="Y31" s="153" t="s">
        <v>575</v>
      </c>
      <c r="Z31" s="153">
        <v>38</v>
      </c>
      <c r="AA31" s="153" t="s">
        <v>576</v>
      </c>
      <c r="AB31" s="153">
        <v>35</v>
      </c>
      <c r="AC31" s="153" t="s">
        <v>577</v>
      </c>
      <c r="AD31" s="153">
        <v>35</v>
      </c>
      <c r="AE31" s="153" t="s">
        <v>548</v>
      </c>
      <c r="AF31" s="153">
        <v>100</v>
      </c>
      <c r="AG31" s="153">
        <v>0</v>
      </c>
      <c r="AH31" s="153">
        <v>0</v>
      </c>
      <c r="AI31" s="153">
        <v>0</v>
      </c>
      <c r="AJ31" s="153">
        <v>0</v>
      </c>
      <c r="AK31" s="153">
        <v>0</v>
      </c>
      <c r="AL31" s="153">
        <v>0</v>
      </c>
      <c r="AM31" s="153">
        <v>0</v>
      </c>
      <c r="AN31" s="153">
        <v>0</v>
      </c>
      <c r="AO31" s="153">
        <v>0</v>
      </c>
      <c r="AP31" s="153">
        <v>0</v>
      </c>
      <c r="AQ31" s="153">
        <v>0</v>
      </c>
      <c r="AR31" s="153">
        <v>0</v>
      </c>
      <c r="AS31" s="153">
        <v>0</v>
      </c>
      <c r="AT31" s="153">
        <v>0</v>
      </c>
      <c r="AU31" s="153">
        <v>0</v>
      </c>
      <c r="AV31" s="153">
        <v>0</v>
      </c>
      <c r="AW31" s="153">
        <v>0</v>
      </c>
      <c r="AX31" s="153">
        <v>0</v>
      </c>
      <c r="AY31" s="153">
        <v>0</v>
      </c>
      <c r="AZ31" s="153">
        <v>0</v>
      </c>
      <c r="BA31" s="153">
        <v>0</v>
      </c>
      <c r="BB31" s="153">
        <v>0</v>
      </c>
      <c r="BC31" s="153">
        <v>0</v>
      </c>
      <c r="BD31" s="153">
        <v>0</v>
      </c>
      <c r="BE31" s="153">
        <v>0</v>
      </c>
      <c r="BF31" s="153">
        <v>0</v>
      </c>
      <c r="BG31" s="153">
        <v>0</v>
      </c>
      <c r="BH31" s="153">
        <v>0</v>
      </c>
      <c r="BI31" s="153">
        <v>0</v>
      </c>
      <c r="BJ31" s="153">
        <v>0</v>
      </c>
      <c r="BK31" s="153">
        <v>0</v>
      </c>
      <c r="BL31" s="153">
        <v>0</v>
      </c>
    </row>
    <row r="32" spans="2:64" ht="72">
      <c r="B32" s="157" t="s">
        <v>64</v>
      </c>
      <c r="C32" s="153" t="s">
        <v>578</v>
      </c>
      <c r="D32" s="153">
        <v>231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153">
        <v>0</v>
      </c>
      <c r="P32" s="153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3">
        <v>0</v>
      </c>
      <c r="Y32" s="153">
        <v>0</v>
      </c>
      <c r="Z32" s="153">
        <v>0</v>
      </c>
      <c r="AA32" s="153">
        <v>0</v>
      </c>
      <c r="AB32" s="153">
        <v>0</v>
      </c>
      <c r="AC32" s="153">
        <v>0</v>
      </c>
      <c r="AD32" s="153">
        <v>0</v>
      </c>
      <c r="AE32" s="153">
        <v>0</v>
      </c>
      <c r="AF32" s="153">
        <v>0</v>
      </c>
      <c r="AG32" s="153">
        <v>0</v>
      </c>
      <c r="AH32" s="153">
        <v>0</v>
      </c>
      <c r="AI32" s="153">
        <v>0</v>
      </c>
      <c r="AJ32" s="153">
        <v>0</v>
      </c>
      <c r="AK32" s="153">
        <v>0</v>
      </c>
      <c r="AL32" s="153">
        <v>0</v>
      </c>
      <c r="AM32" s="153">
        <v>0</v>
      </c>
      <c r="AN32" s="153">
        <v>0</v>
      </c>
      <c r="AO32" s="153">
        <v>0</v>
      </c>
      <c r="AP32" s="153">
        <v>0</v>
      </c>
      <c r="AQ32" s="153">
        <v>0</v>
      </c>
      <c r="AR32" s="153">
        <v>0</v>
      </c>
      <c r="AS32" s="153">
        <v>0</v>
      </c>
      <c r="AT32" s="153">
        <v>0</v>
      </c>
      <c r="AU32" s="153">
        <v>0</v>
      </c>
      <c r="AV32" s="153">
        <v>0</v>
      </c>
      <c r="AW32" s="153">
        <v>0</v>
      </c>
      <c r="AX32" s="153">
        <v>0</v>
      </c>
      <c r="AY32" s="153">
        <v>0</v>
      </c>
      <c r="AZ32" s="153">
        <v>0</v>
      </c>
      <c r="BA32" s="153">
        <v>0</v>
      </c>
      <c r="BB32" s="153">
        <v>0</v>
      </c>
      <c r="BC32" s="153">
        <v>0</v>
      </c>
      <c r="BD32" s="153">
        <v>0</v>
      </c>
      <c r="BE32" s="153">
        <v>0</v>
      </c>
      <c r="BF32" s="153">
        <v>0</v>
      </c>
      <c r="BG32" s="153">
        <v>0</v>
      </c>
      <c r="BH32" s="153">
        <v>0</v>
      </c>
      <c r="BI32" s="153">
        <v>0</v>
      </c>
      <c r="BJ32" s="153">
        <v>0</v>
      </c>
      <c r="BK32" s="153">
        <v>0</v>
      </c>
      <c r="BL32" s="153">
        <v>0</v>
      </c>
    </row>
    <row r="33" spans="2:64">
      <c r="B33" s="157" t="s">
        <v>63</v>
      </c>
    </row>
    <row r="34" spans="2:64" ht="192">
      <c r="B34" s="157" t="s">
        <v>62</v>
      </c>
      <c r="C34" s="153" t="s">
        <v>257</v>
      </c>
      <c r="D34" s="153">
        <v>139</v>
      </c>
      <c r="E34" s="153" t="s">
        <v>579</v>
      </c>
      <c r="F34" s="153">
        <v>39</v>
      </c>
      <c r="G34" s="153" t="s">
        <v>259</v>
      </c>
      <c r="H34" s="153">
        <v>105</v>
      </c>
      <c r="I34" s="153" t="s">
        <v>260</v>
      </c>
      <c r="J34" s="153">
        <v>76</v>
      </c>
      <c r="K34" s="153" t="s">
        <v>580</v>
      </c>
      <c r="L34" s="153">
        <v>60</v>
      </c>
      <c r="M34" s="153" t="s">
        <v>262</v>
      </c>
      <c r="N34" s="153">
        <v>35</v>
      </c>
      <c r="O34" s="153" t="s">
        <v>263</v>
      </c>
      <c r="P34" s="153">
        <v>57</v>
      </c>
      <c r="Q34" s="153" t="s">
        <v>581</v>
      </c>
      <c r="R34" s="153">
        <v>41</v>
      </c>
      <c r="S34" s="153" t="s">
        <v>265</v>
      </c>
      <c r="T34" s="153">
        <v>34</v>
      </c>
      <c r="U34" s="153" t="s">
        <v>266</v>
      </c>
      <c r="V34" s="153">
        <v>50</v>
      </c>
      <c r="W34" s="153" t="s">
        <v>267</v>
      </c>
      <c r="X34" s="153">
        <v>268</v>
      </c>
      <c r="Y34" s="153">
        <v>0</v>
      </c>
      <c r="Z34" s="153">
        <v>0</v>
      </c>
      <c r="AA34" s="153">
        <v>0</v>
      </c>
      <c r="AB34" s="153">
        <v>0</v>
      </c>
      <c r="AC34" s="153">
        <v>0</v>
      </c>
      <c r="AD34" s="153">
        <v>0</v>
      </c>
      <c r="AE34" s="153">
        <v>0</v>
      </c>
      <c r="AF34" s="153">
        <v>0</v>
      </c>
      <c r="AG34" s="153">
        <v>0</v>
      </c>
      <c r="AH34" s="153">
        <v>0</v>
      </c>
      <c r="AI34" s="153">
        <v>0</v>
      </c>
      <c r="AJ34" s="153">
        <v>0</v>
      </c>
      <c r="AK34" s="153">
        <v>0</v>
      </c>
      <c r="AL34" s="153">
        <v>0</v>
      </c>
      <c r="AM34" s="153">
        <v>0</v>
      </c>
      <c r="AN34" s="153">
        <v>0</v>
      </c>
      <c r="AO34" s="153">
        <v>0</v>
      </c>
      <c r="AP34" s="153">
        <v>0</v>
      </c>
      <c r="AQ34" s="153">
        <v>0</v>
      </c>
      <c r="AR34" s="153">
        <v>0</v>
      </c>
      <c r="AS34" s="153">
        <v>0</v>
      </c>
      <c r="AT34" s="153">
        <v>0</v>
      </c>
      <c r="AU34" s="153">
        <v>0</v>
      </c>
      <c r="AV34" s="153">
        <v>0</v>
      </c>
      <c r="AW34" s="153">
        <v>0</v>
      </c>
      <c r="AX34" s="153">
        <v>0</v>
      </c>
      <c r="AY34" s="153">
        <v>0</v>
      </c>
      <c r="AZ34" s="153">
        <v>0</v>
      </c>
      <c r="BA34" s="153">
        <v>0</v>
      </c>
      <c r="BB34" s="153">
        <v>0</v>
      </c>
      <c r="BC34" s="153">
        <v>0</v>
      </c>
      <c r="BD34" s="153">
        <v>0</v>
      </c>
      <c r="BE34" s="153">
        <v>0</v>
      </c>
      <c r="BF34" s="153">
        <v>0</v>
      </c>
      <c r="BG34" s="153">
        <v>0</v>
      </c>
      <c r="BH34" s="153">
        <v>0</v>
      </c>
      <c r="BI34" s="153">
        <v>0</v>
      </c>
      <c r="BJ34" s="153">
        <v>0</v>
      </c>
      <c r="BK34" s="153">
        <v>0</v>
      </c>
      <c r="BL34" s="153">
        <v>0</v>
      </c>
    </row>
    <row r="35" spans="2:64" ht="120">
      <c r="B35" s="157" t="s">
        <v>61</v>
      </c>
      <c r="C35" s="153" t="s">
        <v>268</v>
      </c>
      <c r="D35" s="153">
        <v>466</v>
      </c>
      <c r="E35" s="153" t="s">
        <v>582</v>
      </c>
      <c r="F35" s="153">
        <v>310</v>
      </c>
      <c r="G35" s="153" t="s">
        <v>270</v>
      </c>
      <c r="H35" s="153">
        <v>80</v>
      </c>
      <c r="I35" s="153" t="s">
        <v>583</v>
      </c>
      <c r="J35" s="153">
        <v>50</v>
      </c>
      <c r="K35" s="153" t="s">
        <v>272</v>
      </c>
      <c r="L35" s="153">
        <v>57</v>
      </c>
      <c r="M35" s="153" t="s">
        <v>274</v>
      </c>
      <c r="N35" s="153">
        <v>20</v>
      </c>
      <c r="O35" s="153">
        <v>0</v>
      </c>
      <c r="P35" s="153">
        <v>0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0</v>
      </c>
      <c r="AB35" s="153">
        <v>0</v>
      </c>
      <c r="AC35" s="153">
        <v>0</v>
      </c>
      <c r="AD35" s="153">
        <v>0</v>
      </c>
      <c r="AE35" s="153">
        <v>0</v>
      </c>
      <c r="AF35" s="153">
        <v>0</v>
      </c>
      <c r="AG35" s="153">
        <v>0</v>
      </c>
      <c r="AH35" s="153">
        <v>0</v>
      </c>
      <c r="AI35" s="153">
        <v>0</v>
      </c>
      <c r="AJ35" s="153">
        <v>0</v>
      </c>
      <c r="AK35" s="153">
        <v>0</v>
      </c>
      <c r="AL35" s="153">
        <v>0</v>
      </c>
      <c r="AM35" s="153">
        <v>0</v>
      </c>
      <c r="AN35" s="153">
        <v>0</v>
      </c>
      <c r="AO35" s="153">
        <v>0</v>
      </c>
      <c r="AP35" s="153">
        <v>0</v>
      </c>
      <c r="AQ35" s="153">
        <v>0</v>
      </c>
      <c r="AR35" s="153">
        <v>0</v>
      </c>
      <c r="AS35" s="153">
        <v>0</v>
      </c>
      <c r="AT35" s="153">
        <v>0</v>
      </c>
      <c r="AU35" s="153">
        <v>0</v>
      </c>
      <c r="AV35" s="153">
        <v>0</v>
      </c>
      <c r="AW35" s="153">
        <v>0</v>
      </c>
      <c r="AX35" s="153">
        <v>0</v>
      </c>
      <c r="AY35" s="153">
        <v>0</v>
      </c>
      <c r="AZ35" s="153">
        <v>0</v>
      </c>
      <c r="BA35" s="153">
        <v>0</v>
      </c>
      <c r="BB35" s="153">
        <v>0</v>
      </c>
      <c r="BC35" s="153">
        <v>0</v>
      </c>
      <c r="BD35" s="153">
        <v>0</v>
      </c>
      <c r="BE35" s="153">
        <v>0</v>
      </c>
      <c r="BF35" s="153">
        <v>0</v>
      </c>
      <c r="BG35" s="153">
        <v>0</v>
      </c>
      <c r="BH35" s="153">
        <v>0</v>
      </c>
      <c r="BI35" s="153">
        <v>0</v>
      </c>
      <c r="BJ35" s="153">
        <v>0</v>
      </c>
      <c r="BK35" s="153">
        <v>0</v>
      </c>
      <c r="BL35" s="153">
        <v>0</v>
      </c>
    </row>
    <row r="36" spans="2:64" ht="144">
      <c r="B36" s="157" t="s">
        <v>60</v>
      </c>
      <c r="C36" s="153" t="s">
        <v>275</v>
      </c>
      <c r="D36" s="153">
        <v>221</v>
      </c>
      <c r="E36" s="153" t="s">
        <v>276</v>
      </c>
      <c r="F36" s="153">
        <v>70</v>
      </c>
      <c r="G36" s="153" t="s">
        <v>277</v>
      </c>
      <c r="H36" s="153">
        <v>151</v>
      </c>
      <c r="I36" s="153" t="s">
        <v>278</v>
      </c>
      <c r="J36" s="153">
        <v>50</v>
      </c>
      <c r="K36" s="153" t="s">
        <v>279</v>
      </c>
      <c r="L36" s="153">
        <v>668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3">
        <v>0</v>
      </c>
      <c r="Y36" s="153">
        <v>0</v>
      </c>
      <c r="Z36" s="153">
        <v>0</v>
      </c>
      <c r="AA36" s="153">
        <v>0</v>
      </c>
      <c r="AB36" s="153">
        <v>0</v>
      </c>
      <c r="AC36" s="153">
        <v>0</v>
      </c>
      <c r="AD36" s="153">
        <v>0</v>
      </c>
      <c r="AE36" s="153">
        <v>0</v>
      </c>
      <c r="AF36" s="153">
        <v>0</v>
      </c>
      <c r="AG36" s="153">
        <v>0</v>
      </c>
      <c r="AH36" s="153">
        <v>0</v>
      </c>
      <c r="AI36" s="153">
        <v>0</v>
      </c>
      <c r="AJ36" s="153">
        <v>0</v>
      </c>
      <c r="AK36" s="153">
        <v>0</v>
      </c>
      <c r="AL36" s="153">
        <v>0</v>
      </c>
      <c r="AM36" s="153">
        <v>0</v>
      </c>
      <c r="AN36" s="153">
        <v>0</v>
      </c>
      <c r="AO36" s="153">
        <v>0</v>
      </c>
      <c r="AP36" s="153">
        <v>0</v>
      </c>
      <c r="AQ36" s="153">
        <v>0</v>
      </c>
      <c r="AR36" s="153">
        <v>0</v>
      </c>
      <c r="AS36" s="153">
        <v>0</v>
      </c>
      <c r="AT36" s="153">
        <v>0</v>
      </c>
      <c r="AU36" s="153">
        <v>0</v>
      </c>
      <c r="AV36" s="153">
        <v>0</v>
      </c>
      <c r="AW36" s="153">
        <v>0</v>
      </c>
      <c r="AX36" s="153">
        <v>0</v>
      </c>
      <c r="AY36" s="153">
        <v>0</v>
      </c>
      <c r="AZ36" s="153">
        <v>0</v>
      </c>
      <c r="BA36" s="153">
        <v>0</v>
      </c>
      <c r="BB36" s="153">
        <v>0</v>
      </c>
      <c r="BC36" s="153">
        <v>0</v>
      </c>
      <c r="BD36" s="153">
        <v>0</v>
      </c>
      <c r="BE36" s="153">
        <v>0</v>
      </c>
      <c r="BF36" s="153">
        <v>0</v>
      </c>
      <c r="BG36" s="153">
        <v>0</v>
      </c>
      <c r="BH36" s="153">
        <v>0</v>
      </c>
      <c r="BI36" s="153">
        <v>0</v>
      </c>
      <c r="BJ36" s="153">
        <v>0</v>
      </c>
      <c r="BK36" s="153">
        <v>0</v>
      </c>
      <c r="BL36" s="153">
        <v>0</v>
      </c>
    </row>
    <row r="37" spans="2:64" ht="72">
      <c r="B37" s="157" t="s">
        <v>59</v>
      </c>
      <c r="C37" s="153" t="s">
        <v>280</v>
      </c>
      <c r="D37" s="153">
        <v>55</v>
      </c>
      <c r="E37" s="153" t="s">
        <v>584</v>
      </c>
      <c r="F37" s="153">
        <v>28</v>
      </c>
      <c r="G37" s="153" t="s">
        <v>282</v>
      </c>
      <c r="H37" s="153">
        <v>30</v>
      </c>
      <c r="I37" s="153" t="s">
        <v>283</v>
      </c>
      <c r="J37" s="153">
        <v>33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53">
        <v>0</v>
      </c>
      <c r="Q37" s="153">
        <v>0</v>
      </c>
      <c r="R37" s="153">
        <v>0</v>
      </c>
      <c r="S37" s="153">
        <v>0</v>
      </c>
      <c r="T37" s="153">
        <v>0</v>
      </c>
      <c r="U37" s="153">
        <v>0</v>
      </c>
      <c r="V37" s="153">
        <v>0</v>
      </c>
      <c r="W37" s="153">
        <v>0</v>
      </c>
      <c r="X37" s="153">
        <v>0</v>
      </c>
      <c r="Y37" s="153">
        <v>0</v>
      </c>
      <c r="Z37" s="153">
        <v>0</v>
      </c>
      <c r="AA37" s="153">
        <v>0</v>
      </c>
      <c r="AB37" s="153">
        <v>0</v>
      </c>
      <c r="AC37" s="153">
        <v>0</v>
      </c>
      <c r="AD37" s="153">
        <v>0</v>
      </c>
      <c r="AE37" s="153">
        <v>0</v>
      </c>
      <c r="AF37" s="153">
        <v>0</v>
      </c>
      <c r="AG37" s="153">
        <v>0</v>
      </c>
      <c r="AH37" s="153">
        <v>0</v>
      </c>
      <c r="AI37" s="153">
        <v>0</v>
      </c>
      <c r="AJ37" s="153">
        <v>0</v>
      </c>
      <c r="AK37" s="153">
        <v>0</v>
      </c>
      <c r="AL37" s="153">
        <v>0</v>
      </c>
      <c r="AM37" s="153">
        <v>0</v>
      </c>
      <c r="AN37" s="153">
        <v>0</v>
      </c>
      <c r="AO37" s="153">
        <v>0</v>
      </c>
      <c r="AP37" s="153">
        <v>0</v>
      </c>
      <c r="AQ37" s="153">
        <v>0</v>
      </c>
      <c r="AR37" s="153">
        <v>0</v>
      </c>
      <c r="AS37" s="153">
        <v>0</v>
      </c>
      <c r="AT37" s="153">
        <v>0</v>
      </c>
      <c r="AU37" s="153">
        <v>0</v>
      </c>
      <c r="AV37" s="153">
        <v>0</v>
      </c>
      <c r="AW37" s="153">
        <v>0</v>
      </c>
      <c r="AX37" s="153">
        <v>0</v>
      </c>
      <c r="AY37" s="153">
        <v>0</v>
      </c>
      <c r="AZ37" s="153">
        <v>0</v>
      </c>
      <c r="BA37" s="153">
        <v>0</v>
      </c>
      <c r="BB37" s="153">
        <v>0</v>
      </c>
      <c r="BC37" s="153">
        <v>0</v>
      </c>
      <c r="BD37" s="153">
        <v>0</v>
      </c>
      <c r="BE37" s="153">
        <v>0</v>
      </c>
      <c r="BF37" s="153">
        <v>0</v>
      </c>
      <c r="BG37" s="153">
        <v>0</v>
      </c>
      <c r="BH37" s="153">
        <v>0</v>
      </c>
      <c r="BI37" s="153">
        <v>0</v>
      </c>
      <c r="BJ37" s="153">
        <v>0</v>
      </c>
      <c r="BK37" s="153">
        <v>0</v>
      </c>
      <c r="BL37" s="153">
        <v>0</v>
      </c>
    </row>
    <row r="38" spans="2:64" ht="144">
      <c r="B38" s="157" t="s">
        <v>58</v>
      </c>
      <c r="C38" s="153" t="s">
        <v>284</v>
      </c>
      <c r="D38" s="153">
        <v>851</v>
      </c>
      <c r="E38" s="153" t="s">
        <v>286</v>
      </c>
      <c r="F38" s="153">
        <v>400</v>
      </c>
      <c r="G38" s="153" t="s">
        <v>285</v>
      </c>
      <c r="H38" s="153">
        <v>115</v>
      </c>
      <c r="I38" s="153" t="s">
        <v>287</v>
      </c>
      <c r="J38" s="153">
        <v>60</v>
      </c>
      <c r="K38" s="153" t="s">
        <v>585</v>
      </c>
      <c r="L38" s="153">
        <v>50</v>
      </c>
      <c r="M38" s="153" t="s">
        <v>289</v>
      </c>
      <c r="N38" s="153">
        <v>120</v>
      </c>
      <c r="O38" s="153" t="s">
        <v>290</v>
      </c>
      <c r="P38" s="153">
        <v>30</v>
      </c>
      <c r="Q38" s="153" t="s">
        <v>586</v>
      </c>
      <c r="R38" s="153">
        <v>20</v>
      </c>
      <c r="S38" s="153" t="s">
        <v>292</v>
      </c>
      <c r="T38" s="153">
        <v>279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0</v>
      </c>
      <c r="AA38" s="153">
        <v>0</v>
      </c>
      <c r="AB38" s="153">
        <v>0</v>
      </c>
      <c r="AC38" s="153">
        <v>0</v>
      </c>
      <c r="AD38" s="153">
        <v>0</v>
      </c>
      <c r="AE38" s="153">
        <v>0</v>
      </c>
      <c r="AF38" s="153">
        <v>0</v>
      </c>
      <c r="AG38" s="153">
        <v>0</v>
      </c>
      <c r="AH38" s="153">
        <v>0</v>
      </c>
      <c r="AI38" s="153">
        <v>0</v>
      </c>
      <c r="AJ38" s="153">
        <v>0</v>
      </c>
      <c r="AK38" s="153">
        <v>0</v>
      </c>
      <c r="AL38" s="153">
        <v>0</v>
      </c>
      <c r="AM38" s="153">
        <v>0</v>
      </c>
      <c r="AN38" s="153">
        <v>0</v>
      </c>
      <c r="AO38" s="153">
        <v>0</v>
      </c>
      <c r="AP38" s="153">
        <v>0</v>
      </c>
      <c r="AQ38" s="153">
        <v>0</v>
      </c>
      <c r="AR38" s="153">
        <v>0</v>
      </c>
      <c r="AS38" s="153">
        <v>0</v>
      </c>
      <c r="AT38" s="153">
        <v>0</v>
      </c>
      <c r="AU38" s="153">
        <v>0</v>
      </c>
      <c r="AV38" s="153">
        <v>0</v>
      </c>
      <c r="AW38" s="153">
        <v>0</v>
      </c>
      <c r="AX38" s="153">
        <v>0</v>
      </c>
      <c r="AY38" s="153">
        <v>0</v>
      </c>
      <c r="AZ38" s="153">
        <v>0</v>
      </c>
      <c r="BA38" s="153">
        <v>0</v>
      </c>
      <c r="BB38" s="153">
        <v>0</v>
      </c>
      <c r="BC38" s="153">
        <v>0</v>
      </c>
      <c r="BD38" s="153">
        <v>0</v>
      </c>
      <c r="BE38" s="153">
        <v>0</v>
      </c>
      <c r="BF38" s="153">
        <v>0</v>
      </c>
      <c r="BG38" s="153">
        <v>0</v>
      </c>
      <c r="BH38" s="153">
        <v>0</v>
      </c>
      <c r="BI38" s="153">
        <v>0</v>
      </c>
      <c r="BJ38" s="153">
        <v>0</v>
      </c>
      <c r="BK38" s="153">
        <v>0</v>
      </c>
      <c r="BL38" s="153">
        <v>0</v>
      </c>
    </row>
    <row r="39" spans="2:64" ht="144">
      <c r="B39" s="157" t="s">
        <v>57</v>
      </c>
      <c r="C39" s="153" t="s">
        <v>293</v>
      </c>
      <c r="D39" s="153">
        <v>50</v>
      </c>
      <c r="E39" s="153" t="s">
        <v>294</v>
      </c>
      <c r="F39" s="153">
        <v>80</v>
      </c>
      <c r="G39" s="153" t="s">
        <v>295</v>
      </c>
      <c r="H39" s="153">
        <v>25</v>
      </c>
      <c r="I39" s="153" t="s">
        <v>296</v>
      </c>
      <c r="J39" s="153">
        <v>50</v>
      </c>
      <c r="K39" s="153" t="s">
        <v>587</v>
      </c>
      <c r="L39" s="153">
        <v>80</v>
      </c>
      <c r="M39" s="153" t="s">
        <v>298</v>
      </c>
      <c r="N39" s="153">
        <v>20</v>
      </c>
      <c r="O39" s="153" t="s">
        <v>299</v>
      </c>
      <c r="P39" s="153">
        <v>70</v>
      </c>
      <c r="Q39" s="153" t="s">
        <v>300</v>
      </c>
      <c r="R39" s="153">
        <v>40</v>
      </c>
      <c r="S39" s="153" t="s">
        <v>301</v>
      </c>
      <c r="T39" s="153">
        <v>50</v>
      </c>
      <c r="U39" s="153" t="s">
        <v>302</v>
      </c>
      <c r="V39" s="153">
        <v>1718</v>
      </c>
      <c r="W39" s="153" t="s">
        <v>303</v>
      </c>
      <c r="X39" s="153">
        <v>40</v>
      </c>
      <c r="Y39" s="153">
        <v>0</v>
      </c>
      <c r="Z39" s="153">
        <v>0</v>
      </c>
      <c r="AA39" s="153">
        <v>0</v>
      </c>
      <c r="AB39" s="153">
        <v>0</v>
      </c>
      <c r="AC39" s="153">
        <v>0</v>
      </c>
      <c r="AD39" s="153">
        <v>0</v>
      </c>
      <c r="AE39" s="153">
        <v>0</v>
      </c>
      <c r="AF39" s="153">
        <v>0</v>
      </c>
      <c r="AG39" s="153">
        <v>0</v>
      </c>
      <c r="AH39" s="153">
        <v>0</v>
      </c>
      <c r="AI39" s="153">
        <v>0</v>
      </c>
      <c r="AJ39" s="153">
        <v>0</v>
      </c>
      <c r="AK39" s="153">
        <v>0</v>
      </c>
      <c r="AL39" s="153">
        <v>0</v>
      </c>
      <c r="AM39" s="153">
        <v>0</v>
      </c>
      <c r="AN39" s="153">
        <v>0</v>
      </c>
      <c r="AO39" s="153">
        <v>0</v>
      </c>
      <c r="AP39" s="153">
        <v>0</v>
      </c>
      <c r="AQ39" s="153">
        <v>0</v>
      </c>
      <c r="AR39" s="153">
        <v>0</v>
      </c>
      <c r="AS39" s="153">
        <v>0</v>
      </c>
      <c r="AT39" s="153">
        <v>0</v>
      </c>
      <c r="AU39" s="153">
        <v>0</v>
      </c>
      <c r="AV39" s="153">
        <v>0</v>
      </c>
      <c r="AW39" s="153">
        <v>0</v>
      </c>
      <c r="AX39" s="153">
        <v>0</v>
      </c>
      <c r="AY39" s="153">
        <v>0</v>
      </c>
      <c r="AZ39" s="153">
        <v>0</v>
      </c>
      <c r="BA39" s="153">
        <v>0</v>
      </c>
      <c r="BB39" s="153">
        <v>0</v>
      </c>
      <c r="BC39" s="153">
        <v>0</v>
      </c>
      <c r="BD39" s="153">
        <v>0</v>
      </c>
      <c r="BE39" s="153">
        <v>0</v>
      </c>
      <c r="BF39" s="153">
        <v>0</v>
      </c>
      <c r="BG39" s="153">
        <v>0</v>
      </c>
      <c r="BH39" s="153">
        <v>0</v>
      </c>
      <c r="BI39" s="153">
        <v>0</v>
      </c>
      <c r="BJ39" s="153">
        <v>0</v>
      </c>
      <c r="BK39" s="153">
        <v>0</v>
      </c>
      <c r="BL39" s="153">
        <v>0</v>
      </c>
    </row>
    <row r="40" spans="2:64" ht="96">
      <c r="B40" s="157" t="s">
        <v>56</v>
      </c>
      <c r="C40" s="153" t="s">
        <v>304</v>
      </c>
      <c r="D40" s="153">
        <v>357</v>
      </c>
      <c r="E40" s="153" t="s">
        <v>588</v>
      </c>
      <c r="F40" s="153">
        <v>32</v>
      </c>
      <c r="G40" s="153" t="s">
        <v>306</v>
      </c>
      <c r="H40" s="153">
        <v>25</v>
      </c>
      <c r="I40" s="153" t="s">
        <v>307</v>
      </c>
      <c r="J40" s="153">
        <v>30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53">
        <v>0</v>
      </c>
      <c r="Q40" s="153">
        <v>0</v>
      </c>
      <c r="R40" s="153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3">
        <v>0</v>
      </c>
      <c r="Y40" s="153">
        <v>0</v>
      </c>
      <c r="Z40" s="153">
        <v>0</v>
      </c>
      <c r="AA40" s="153">
        <v>0</v>
      </c>
      <c r="AB40" s="153">
        <v>0</v>
      </c>
      <c r="AC40" s="153">
        <v>0</v>
      </c>
      <c r="AD40" s="153">
        <v>0</v>
      </c>
      <c r="AE40" s="153">
        <v>0</v>
      </c>
      <c r="AF40" s="153">
        <v>0</v>
      </c>
      <c r="AG40" s="153">
        <v>0</v>
      </c>
      <c r="AH40" s="153">
        <v>0</v>
      </c>
      <c r="AI40" s="153">
        <v>0</v>
      </c>
      <c r="AJ40" s="153">
        <v>0</v>
      </c>
      <c r="AK40" s="153">
        <v>0</v>
      </c>
      <c r="AL40" s="153">
        <v>0</v>
      </c>
      <c r="AM40" s="153">
        <v>0</v>
      </c>
      <c r="AN40" s="153">
        <v>0</v>
      </c>
      <c r="AO40" s="153">
        <v>0</v>
      </c>
      <c r="AP40" s="153">
        <v>0</v>
      </c>
      <c r="AQ40" s="153">
        <v>0</v>
      </c>
      <c r="AR40" s="153">
        <v>0</v>
      </c>
      <c r="AS40" s="153">
        <v>0</v>
      </c>
      <c r="AT40" s="153">
        <v>0</v>
      </c>
      <c r="AU40" s="153">
        <v>0</v>
      </c>
      <c r="AV40" s="153">
        <v>0</v>
      </c>
      <c r="AW40" s="153">
        <v>0</v>
      </c>
      <c r="AX40" s="153">
        <v>0</v>
      </c>
      <c r="AY40" s="153">
        <v>0</v>
      </c>
      <c r="AZ40" s="153">
        <v>0</v>
      </c>
      <c r="BA40" s="153">
        <v>0</v>
      </c>
      <c r="BB40" s="153">
        <v>0</v>
      </c>
      <c r="BC40" s="153">
        <v>0</v>
      </c>
      <c r="BD40" s="153">
        <v>0</v>
      </c>
      <c r="BE40" s="153">
        <v>0</v>
      </c>
      <c r="BF40" s="153">
        <v>0</v>
      </c>
      <c r="BG40" s="153">
        <v>0</v>
      </c>
      <c r="BH40" s="153">
        <v>0</v>
      </c>
      <c r="BI40" s="153">
        <v>0</v>
      </c>
      <c r="BJ40" s="153">
        <v>0</v>
      </c>
      <c r="BK40" s="153">
        <v>0</v>
      </c>
      <c r="BL40" s="153">
        <v>0</v>
      </c>
    </row>
    <row r="41" spans="2:64" ht="72">
      <c r="B41" s="157" t="s">
        <v>55</v>
      </c>
      <c r="C41" s="153" t="s">
        <v>589</v>
      </c>
      <c r="D41" s="153">
        <v>234</v>
      </c>
      <c r="E41" s="153" t="s">
        <v>310</v>
      </c>
      <c r="F41" s="153">
        <v>26</v>
      </c>
      <c r="G41" s="153" t="s">
        <v>309</v>
      </c>
      <c r="H41" s="153">
        <v>20</v>
      </c>
      <c r="I41" s="153" t="s">
        <v>590</v>
      </c>
      <c r="J41" s="153">
        <v>62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53">
        <v>0</v>
      </c>
      <c r="Q41" s="153">
        <v>0</v>
      </c>
      <c r="R41" s="153">
        <v>0</v>
      </c>
      <c r="S41" s="153">
        <v>0</v>
      </c>
      <c r="T41" s="153">
        <v>0</v>
      </c>
      <c r="U41" s="153">
        <v>0</v>
      </c>
      <c r="V41" s="153">
        <v>0</v>
      </c>
      <c r="W41" s="153">
        <v>0</v>
      </c>
      <c r="X41" s="153">
        <v>0</v>
      </c>
      <c r="Y41" s="153">
        <v>0</v>
      </c>
      <c r="Z41" s="153">
        <v>0</v>
      </c>
      <c r="AA41" s="153">
        <v>0</v>
      </c>
      <c r="AB41" s="153">
        <v>0</v>
      </c>
      <c r="AC41" s="153">
        <v>0</v>
      </c>
      <c r="AD41" s="153">
        <v>0</v>
      </c>
      <c r="AE41" s="153">
        <v>0</v>
      </c>
      <c r="AF41" s="153">
        <v>0</v>
      </c>
      <c r="AG41" s="153">
        <v>0</v>
      </c>
      <c r="AH41" s="153">
        <v>0</v>
      </c>
      <c r="AI41" s="153">
        <v>0</v>
      </c>
      <c r="AJ41" s="153">
        <v>0</v>
      </c>
      <c r="AK41" s="153">
        <v>0</v>
      </c>
      <c r="AL41" s="153">
        <v>0</v>
      </c>
      <c r="AM41" s="153">
        <v>0</v>
      </c>
      <c r="AN41" s="153">
        <v>0</v>
      </c>
      <c r="AO41" s="153">
        <v>0</v>
      </c>
      <c r="AP41" s="153">
        <v>0</v>
      </c>
      <c r="AQ41" s="153">
        <v>0</v>
      </c>
      <c r="AR41" s="153">
        <v>0</v>
      </c>
      <c r="AS41" s="153">
        <v>0</v>
      </c>
      <c r="AT41" s="153">
        <v>0</v>
      </c>
      <c r="AU41" s="153">
        <v>0</v>
      </c>
      <c r="AV41" s="153">
        <v>0</v>
      </c>
      <c r="AW41" s="153">
        <v>0</v>
      </c>
      <c r="AX41" s="153">
        <v>0</v>
      </c>
      <c r="AY41" s="153">
        <v>0</v>
      </c>
      <c r="AZ41" s="153">
        <v>0</v>
      </c>
      <c r="BA41" s="153">
        <v>0</v>
      </c>
      <c r="BB41" s="153">
        <v>0</v>
      </c>
      <c r="BC41" s="153">
        <v>0</v>
      </c>
      <c r="BD41" s="153">
        <v>0</v>
      </c>
      <c r="BE41" s="153">
        <v>0</v>
      </c>
      <c r="BF41" s="153">
        <v>0</v>
      </c>
      <c r="BG41" s="153">
        <v>0</v>
      </c>
      <c r="BH41" s="153">
        <v>0</v>
      </c>
      <c r="BI41" s="153">
        <v>0</v>
      </c>
      <c r="BJ41" s="153">
        <v>0</v>
      </c>
      <c r="BK41" s="153">
        <v>0</v>
      </c>
      <c r="BL41" s="153">
        <v>0</v>
      </c>
    </row>
    <row r="42" spans="2:64">
      <c r="B42" s="157" t="s">
        <v>54</v>
      </c>
    </row>
    <row r="43" spans="2:64" ht="120">
      <c r="B43" s="157" t="s">
        <v>53</v>
      </c>
      <c r="C43" s="153" t="s">
        <v>319</v>
      </c>
      <c r="D43" s="153">
        <v>20</v>
      </c>
      <c r="E43" s="153" t="s">
        <v>320</v>
      </c>
      <c r="F43" s="153">
        <v>80</v>
      </c>
      <c r="G43" s="153" t="s">
        <v>321</v>
      </c>
      <c r="H43" s="153">
        <v>25</v>
      </c>
      <c r="I43" s="153" t="s">
        <v>316</v>
      </c>
      <c r="J43" s="153">
        <v>320</v>
      </c>
      <c r="K43" s="153" t="s">
        <v>591</v>
      </c>
      <c r="L43" s="153">
        <v>80</v>
      </c>
      <c r="M43" s="153" t="s">
        <v>592</v>
      </c>
      <c r="N43" s="153">
        <v>358</v>
      </c>
      <c r="O43" s="153" t="s">
        <v>318</v>
      </c>
      <c r="P43" s="153">
        <v>80</v>
      </c>
      <c r="Q43" s="153">
        <v>0</v>
      </c>
      <c r="R43" s="153">
        <v>0</v>
      </c>
      <c r="S43" s="153">
        <v>0</v>
      </c>
      <c r="T43" s="153">
        <v>0</v>
      </c>
      <c r="U43" s="153">
        <v>0</v>
      </c>
      <c r="V43" s="153">
        <v>0</v>
      </c>
      <c r="W43" s="153">
        <v>0</v>
      </c>
      <c r="X43" s="153">
        <v>0</v>
      </c>
      <c r="Y43" s="153">
        <v>0</v>
      </c>
      <c r="Z43" s="153">
        <v>0</v>
      </c>
      <c r="AA43" s="153">
        <v>0</v>
      </c>
      <c r="AB43" s="153">
        <v>0</v>
      </c>
      <c r="AC43" s="153">
        <v>0</v>
      </c>
      <c r="AD43" s="153">
        <v>0</v>
      </c>
      <c r="AE43" s="153">
        <v>0</v>
      </c>
      <c r="AF43" s="153">
        <v>0</v>
      </c>
      <c r="AG43" s="153">
        <v>0</v>
      </c>
      <c r="AH43" s="153">
        <v>0</v>
      </c>
      <c r="AI43" s="153">
        <v>0</v>
      </c>
      <c r="AJ43" s="153">
        <v>0</v>
      </c>
      <c r="AK43" s="153">
        <v>0</v>
      </c>
      <c r="AL43" s="153">
        <v>0</v>
      </c>
      <c r="AM43" s="153">
        <v>0</v>
      </c>
      <c r="AN43" s="153">
        <v>0</v>
      </c>
      <c r="AO43" s="153">
        <v>0</v>
      </c>
      <c r="AP43" s="153">
        <v>0</v>
      </c>
      <c r="AQ43" s="153">
        <v>0</v>
      </c>
      <c r="AR43" s="153">
        <v>0</v>
      </c>
      <c r="AS43" s="153">
        <v>0</v>
      </c>
      <c r="AT43" s="153">
        <v>0</v>
      </c>
      <c r="AU43" s="153">
        <v>0</v>
      </c>
      <c r="AV43" s="153">
        <v>0</v>
      </c>
      <c r="AW43" s="153">
        <v>0</v>
      </c>
      <c r="AX43" s="153">
        <v>0</v>
      </c>
      <c r="AY43" s="153">
        <v>0</v>
      </c>
      <c r="AZ43" s="153">
        <v>0</v>
      </c>
      <c r="BA43" s="153">
        <v>0</v>
      </c>
      <c r="BB43" s="153">
        <v>0</v>
      </c>
      <c r="BC43" s="153">
        <v>0</v>
      </c>
      <c r="BD43" s="153">
        <v>0</v>
      </c>
      <c r="BE43" s="153">
        <v>0</v>
      </c>
      <c r="BF43" s="153">
        <v>0</v>
      </c>
      <c r="BG43" s="153">
        <v>0</v>
      </c>
      <c r="BH43" s="153">
        <v>0</v>
      </c>
      <c r="BI43" s="153">
        <v>0</v>
      </c>
      <c r="BJ43" s="153">
        <v>0</v>
      </c>
      <c r="BK43" s="153">
        <v>0</v>
      </c>
      <c r="BL43" s="153">
        <v>0</v>
      </c>
    </row>
    <row r="44" spans="2:64" ht="120">
      <c r="B44" s="157" t="s">
        <v>52</v>
      </c>
      <c r="C44" s="153" t="s">
        <v>322</v>
      </c>
      <c r="D44" s="153">
        <v>40</v>
      </c>
      <c r="E44" s="153" t="s">
        <v>323</v>
      </c>
      <c r="F44" s="153">
        <v>45</v>
      </c>
      <c r="G44" s="153" t="s">
        <v>325</v>
      </c>
      <c r="H44" s="153">
        <v>60</v>
      </c>
      <c r="I44" s="153" t="s">
        <v>326</v>
      </c>
      <c r="J44" s="153">
        <v>50</v>
      </c>
      <c r="K44" s="153" t="s">
        <v>327</v>
      </c>
      <c r="L44" s="153">
        <v>20</v>
      </c>
      <c r="M44" s="153" t="s">
        <v>328</v>
      </c>
      <c r="N44" s="153">
        <v>25</v>
      </c>
      <c r="O44" s="153" t="s">
        <v>329</v>
      </c>
      <c r="P44" s="153">
        <v>40</v>
      </c>
      <c r="Q44" s="153" t="s">
        <v>330</v>
      </c>
      <c r="R44" s="153">
        <v>40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0</v>
      </c>
      <c r="AA44" s="153">
        <v>0</v>
      </c>
      <c r="AB44" s="153">
        <v>0</v>
      </c>
      <c r="AC44" s="153">
        <v>0</v>
      </c>
      <c r="AD44" s="153">
        <v>0</v>
      </c>
      <c r="AE44" s="153">
        <v>0</v>
      </c>
      <c r="AF44" s="153">
        <v>0</v>
      </c>
      <c r="AG44" s="153">
        <v>0</v>
      </c>
      <c r="AH44" s="153">
        <v>0</v>
      </c>
      <c r="AI44" s="153">
        <v>0</v>
      </c>
      <c r="AJ44" s="153">
        <v>0</v>
      </c>
      <c r="AK44" s="153">
        <v>0</v>
      </c>
      <c r="AL44" s="153">
        <v>0</v>
      </c>
      <c r="AM44" s="153">
        <v>0</v>
      </c>
      <c r="AN44" s="153">
        <v>0</v>
      </c>
      <c r="AO44" s="153">
        <v>0</v>
      </c>
      <c r="AP44" s="153">
        <v>0</v>
      </c>
      <c r="AQ44" s="153">
        <v>0</v>
      </c>
      <c r="AR44" s="153">
        <v>0</v>
      </c>
      <c r="AS44" s="153">
        <v>0</v>
      </c>
      <c r="AT44" s="153">
        <v>0</v>
      </c>
      <c r="AU44" s="153">
        <v>0</v>
      </c>
      <c r="AV44" s="153">
        <v>0</v>
      </c>
      <c r="AW44" s="153">
        <v>0</v>
      </c>
      <c r="AX44" s="153">
        <v>0</v>
      </c>
      <c r="AY44" s="153">
        <v>0</v>
      </c>
      <c r="AZ44" s="153">
        <v>0</v>
      </c>
      <c r="BA44" s="153">
        <v>0</v>
      </c>
      <c r="BB44" s="153">
        <v>0</v>
      </c>
      <c r="BC44" s="153">
        <v>0</v>
      </c>
      <c r="BD44" s="153">
        <v>0</v>
      </c>
      <c r="BE44" s="153">
        <v>0</v>
      </c>
      <c r="BF44" s="153">
        <v>0</v>
      </c>
      <c r="BG44" s="153">
        <v>0</v>
      </c>
      <c r="BH44" s="153">
        <v>0</v>
      </c>
      <c r="BI44" s="153">
        <v>0</v>
      </c>
      <c r="BJ44" s="153">
        <v>0</v>
      </c>
      <c r="BK44" s="153">
        <v>0</v>
      </c>
      <c r="BL44" s="153">
        <v>0</v>
      </c>
    </row>
    <row r="45" spans="2:64" ht="72">
      <c r="B45" s="157" t="s">
        <v>51</v>
      </c>
      <c r="C45" s="153" t="s">
        <v>593</v>
      </c>
      <c r="D45" s="153">
        <v>60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  <c r="N45" s="153">
        <v>0</v>
      </c>
      <c r="O45" s="153">
        <v>0</v>
      </c>
      <c r="P45" s="153">
        <v>0</v>
      </c>
      <c r="Q45" s="153">
        <v>0</v>
      </c>
      <c r="R45" s="153">
        <v>0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0</v>
      </c>
      <c r="Z45" s="153">
        <v>0</v>
      </c>
      <c r="AA45" s="153">
        <v>0</v>
      </c>
      <c r="AB45" s="153">
        <v>0</v>
      </c>
      <c r="AC45" s="153">
        <v>0</v>
      </c>
      <c r="AD45" s="153">
        <v>0</v>
      </c>
      <c r="AE45" s="153">
        <v>0</v>
      </c>
      <c r="AF45" s="153">
        <v>0</v>
      </c>
      <c r="AG45" s="153">
        <v>0</v>
      </c>
      <c r="AH45" s="153">
        <v>0</v>
      </c>
      <c r="AI45" s="153">
        <v>0</v>
      </c>
      <c r="AJ45" s="153">
        <v>0</v>
      </c>
      <c r="AK45" s="153">
        <v>0</v>
      </c>
      <c r="AL45" s="153">
        <v>0</v>
      </c>
      <c r="AM45" s="153">
        <v>0</v>
      </c>
      <c r="AN45" s="153">
        <v>0</v>
      </c>
      <c r="AO45" s="153">
        <v>0</v>
      </c>
      <c r="AP45" s="153">
        <v>0</v>
      </c>
      <c r="AQ45" s="153">
        <v>0</v>
      </c>
      <c r="AR45" s="153">
        <v>0</v>
      </c>
      <c r="AS45" s="153">
        <v>0</v>
      </c>
      <c r="AT45" s="153">
        <v>0</v>
      </c>
      <c r="AU45" s="153">
        <v>0</v>
      </c>
      <c r="AV45" s="153">
        <v>0</v>
      </c>
      <c r="AW45" s="153">
        <v>0</v>
      </c>
      <c r="AX45" s="153">
        <v>0</v>
      </c>
      <c r="AY45" s="153">
        <v>0</v>
      </c>
      <c r="AZ45" s="153">
        <v>0</v>
      </c>
      <c r="BA45" s="153">
        <v>0</v>
      </c>
      <c r="BB45" s="153">
        <v>0</v>
      </c>
      <c r="BC45" s="153">
        <v>0</v>
      </c>
      <c r="BD45" s="153">
        <v>0</v>
      </c>
      <c r="BE45" s="153">
        <v>0</v>
      </c>
      <c r="BF45" s="153">
        <v>0</v>
      </c>
      <c r="BG45" s="153">
        <v>0</v>
      </c>
      <c r="BH45" s="153">
        <v>0</v>
      </c>
      <c r="BI45" s="153">
        <v>0</v>
      </c>
      <c r="BJ45" s="153">
        <v>0</v>
      </c>
      <c r="BK45" s="153">
        <v>0</v>
      </c>
      <c r="BL45" s="153">
        <v>0</v>
      </c>
    </row>
    <row r="46" spans="2:64" ht="48">
      <c r="B46" s="157" t="s">
        <v>50</v>
      </c>
      <c r="C46" s="153" t="s">
        <v>594</v>
      </c>
      <c r="D46" s="153">
        <v>50</v>
      </c>
      <c r="E46" s="153" t="s">
        <v>332</v>
      </c>
      <c r="F46" s="153">
        <v>35</v>
      </c>
      <c r="G46" s="153" t="s">
        <v>595</v>
      </c>
      <c r="H46" s="153">
        <v>5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  <c r="AB46" s="153">
        <v>0</v>
      </c>
      <c r="AC46" s="153">
        <v>0</v>
      </c>
      <c r="AD46" s="153">
        <v>0</v>
      </c>
      <c r="AE46" s="153">
        <v>0</v>
      </c>
      <c r="AF46" s="153">
        <v>0</v>
      </c>
      <c r="AG46" s="153">
        <v>0</v>
      </c>
      <c r="AH46" s="153">
        <v>0</v>
      </c>
      <c r="AI46" s="153">
        <v>0</v>
      </c>
      <c r="AJ46" s="153">
        <v>0</v>
      </c>
      <c r="AK46" s="153">
        <v>0</v>
      </c>
      <c r="AL46" s="153">
        <v>0</v>
      </c>
      <c r="AM46" s="153">
        <v>0</v>
      </c>
      <c r="AN46" s="153">
        <v>0</v>
      </c>
      <c r="AO46" s="153">
        <v>0</v>
      </c>
      <c r="AP46" s="153">
        <v>0</v>
      </c>
      <c r="AQ46" s="153">
        <v>0</v>
      </c>
      <c r="AR46" s="153">
        <v>0</v>
      </c>
      <c r="AS46" s="153">
        <v>0</v>
      </c>
      <c r="AT46" s="153">
        <v>0</v>
      </c>
      <c r="AU46" s="153">
        <v>0</v>
      </c>
      <c r="AV46" s="153">
        <v>0</v>
      </c>
      <c r="AW46" s="153">
        <v>0</v>
      </c>
      <c r="AX46" s="153">
        <v>0</v>
      </c>
      <c r="AY46" s="153">
        <v>0</v>
      </c>
      <c r="AZ46" s="153">
        <v>0</v>
      </c>
      <c r="BA46" s="153">
        <v>0</v>
      </c>
      <c r="BB46" s="153">
        <v>0</v>
      </c>
      <c r="BC46" s="153">
        <v>0</v>
      </c>
      <c r="BD46" s="153">
        <v>0</v>
      </c>
      <c r="BE46" s="153">
        <v>0</v>
      </c>
      <c r="BF46" s="153">
        <v>0</v>
      </c>
      <c r="BG46" s="153">
        <v>0</v>
      </c>
      <c r="BH46" s="153">
        <v>0</v>
      </c>
      <c r="BI46" s="153">
        <v>0</v>
      </c>
      <c r="BJ46" s="153">
        <v>0</v>
      </c>
      <c r="BK46" s="153">
        <v>0</v>
      </c>
      <c r="BL46" s="153">
        <v>0</v>
      </c>
    </row>
    <row r="47" spans="2:64" ht="144">
      <c r="B47" s="157" t="s">
        <v>19</v>
      </c>
      <c r="C47" s="153" t="s">
        <v>334</v>
      </c>
      <c r="D47" s="153">
        <v>157</v>
      </c>
      <c r="E47" s="153" t="s">
        <v>335</v>
      </c>
      <c r="F47" s="153">
        <v>30</v>
      </c>
      <c r="G47" s="153" t="s">
        <v>336</v>
      </c>
      <c r="H47" s="153">
        <v>30</v>
      </c>
      <c r="I47" s="153" t="s">
        <v>596</v>
      </c>
      <c r="J47" s="153">
        <v>30</v>
      </c>
      <c r="K47" s="153" t="s">
        <v>338</v>
      </c>
      <c r="L47" s="153">
        <v>30</v>
      </c>
      <c r="M47" s="153" t="s">
        <v>339</v>
      </c>
      <c r="N47" s="153">
        <v>30</v>
      </c>
      <c r="O47" s="153" t="s">
        <v>340</v>
      </c>
      <c r="P47" s="153">
        <v>30</v>
      </c>
      <c r="Q47" s="153" t="s">
        <v>341</v>
      </c>
      <c r="R47" s="153">
        <v>30</v>
      </c>
      <c r="S47" s="153" t="s">
        <v>597</v>
      </c>
      <c r="T47" s="153">
        <v>124</v>
      </c>
      <c r="U47" s="153" t="s">
        <v>343</v>
      </c>
      <c r="V47" s="153">
        <v>70</v>
      </c>
      <c r="W47" s="153" t="s">
        <v>344</v>
      </c>
      <c r="X47" s="153">
        <v>22</v>
      </c>
      <c r="Y47" s="153" t="s">
        <v>345</v>
      </c>
      <c r="Z47" s="153">
        <v>38</v>
      </c>
      <c r="AA47" s="153" t="s">
        <v>346</v>
      </c>
      <c r="AB47" s="153">
        <v>35</v>
      </c>
      <c r="AC47" s="153" t="s">
        <v>347</v>
      </c>
      <c r="AD47" s="153">
        <v>48</v>
      </c>
      <c r="AE47" s="153" t="s">
        <v>348</v>
      </c>
      <c r="AF47" s="153">
        <v>30</v>
      </c>
      <c r="AG47" s="153">
        <v>0</v>
      </c>
      <c r="AH47" s="153">
        <v>0</v>
      </c>
      <c r="AI47" s="153">
        <v>0</v>
      </c>
      <c r="AJ47" s="153">
        <v>0</v>
      </c>
      <c r="AK47" s="153">
        <v>0</v>
      </c>
      <c r="AL47" s="153">
        <v>0</v>
      </c>
      <c r="AM47" s="153">
        <v>0</v>
      </c>
      <c r="AN47" s="153">
        <v>0</v>
      </c>
      <c r="AO47" s="153">
        <v>0</v>
      </c>
      <c r="AP47" s="153">
        <v>0</v>
      </c>
      <c r="AQ47" s="153">
        <v>0</v>
      </c>
      <c r="AR47" s="153">
        <v>0</v>
      </c>
      <c r="AS47" s="153">
        <v>0</v>
      </c>
      <c r="AT47" s="153">
        <v>0</v>
      </c>
      <c r="AU47" s="153">
        <v>0</v>
      </c>
      <c r="AV47" s="153">
        <v>0</v>
      </c>
      <c r="AW47" s="153">
        <v>0</v>
      </c>
      <c r="AX47" s="153">
        <v>0</v>
      </c>
      <c r="AY47" s="153">
        <v>0</v>
      </c>
      <c r="AZ47" s="153">
        <v>0</v>
      </c>
      <c r="BA47" s="153">
        <v>0</v>
      </c>
      <c r="BB47" s="153">
        <v>0</v>
      </c>
      <c r="BC47" s="153">
        <v>0</v>
      </c>
      <c r="BD47" s="153">
        <v>0</v>
      </c>
      <c r="BE47" s="153">
        <v>0</v>
      </c>
      <c r="BF47" s="153">
        <v>0</v>
      </c>
      <c r="BG47" s="153">
        <v>0</v>
      </c>
      <c r="BH47" s="153">
        <v>0</v>
      </c>
      <c r="BI47" s="153">
        <v>0</v>
      </c>
      <c r="BJ47" s="153">
        <v>0</v>
      </c>
      <c r="BK47" s="153">
        <v>0</v>
      </c>
      <c r="BL47" s="153">
        <v>0</v>
      </c>
    </row>
    <row r="48" spans="2:64" ht="192">
      <c r="B48" s="157" t="s">
        <v>20</v>
      </c>
      <c r="C48" s="153" t="s">
        <v>598</v>
      </c>
      <c r="D48" s="153">
        <v>75</v>
      </c>
      <c r="E48" s="153" t="s">
        <v>352</v>
      </c>
      <c r="F48" s="153">
        <v>77</v>
      </c>
      <c r="G48" s="153" t="s">
        <v>599</v>
      </c>
      <c r="H48" s="153">
        <v>59</v>
      </c>
      <c r="I48" s="153" t="s">
        <v>353</v>
      </c>
      <c r="J48" s="153">
        <v>38</v>
      </c>
      <c r="K48" s="153" t="s">
        <v>600</v>
      </c>
      <c r="L48" s="153">
        <v>82</v>
      </c>
      <c r="M48" s="153" t="s">
        <v>350</v>
      </c>
      <c r="N48" s="153">
        <v>69</v>
      </c>
      <c r="O48" s="153" t="s">
        <v>349</v>
      </c>
      <c r="P48" s="153">
        <v>64</v>
      </c>
      <c r="Q48" s="153" t="s">
        <v>601</v>
      </c>
      <c r="R48" s="153">
        <v>85</v>
      </c>
      <c r="S48" s="153" t="s">
        <v>602</v>
      </c>
      <c r="T48" s="153">
        <v>30</v>
      </c>
      <c r="U48" s="153" t="s">
        <v>603</v>
      </c>
      <c r="V48" s="153">
        <v>43</v>
      </c>
      <c r="W48" s="153" t="s">
        <v>604</v>
      </c>
      <c r="X48" s="153">
        <v>44</v>
      </c>
      <c r="Y48" s="153">
        <v>0</v>
      </c>
      <c r="Z48" s="153">
        <v>0</v>
      </c>
      <c r="AA48" s="153">
        <v>0</v>
      </c>
      <c r="AB48" s="153">
        <v>0</v>
      </c>
      <c r="AC48" s="153">
        <v>0</v>
      </c>
      <c r="AD48" s="153">
        <v>0</v>
      </c>
      <c r="AE48" s="153">
        <v>0</v>
      </c>
      <c r="AF48" s="153">
        <v>0</v>
      </c>
      <c r="AG48" s="153">
        <v>0</v>
      </c>
      <c r="AH48" s="153">
        <v>0</v>
      </c>
      <c r="AI48" s="153">
        <v>0</v>
      </c>
      <c r="AJ48" s="153">
        <v>0</v>
      </c>
      <c r="AK48" s="153">
        <v>0</v>
      </c>
      <c r="AL48" s="153">
        <v>0</v>
      </c>
      <c r="AM48" s="153">
        <v>0</v>
      </c>
      <c r="AN48" s="153">
        <v>0</v>
      </c>
      <c r="AO48" s="153">
        <v>0</v>
      </c>
      <c r="AP48" s="153">
        <v>0</v>
      </c>
      <c r="AQ48" s="153">
        <v>0</v>
      </c>
      <c r="AR48" s="153">
        <v>0</v>
      </c>
      <c r="AS48" s="153">
        <v>0</v>
      </c>
      <c r="AT48" s="153">
        <v>0</v>
      </c>
      <c r="AU48" s="153">
        <v>0</v>
      </c>
      <c r="AV48" s="153">
        <v>0</v>
      </c>
      <c r="AW48" s="153">
        <v>0</v>
      </c>
      <c r="AX48" s="153">
        <v>0</v>
      </c>
      <c r="AY48" s="153">
        <v>0</v>
      </c>
      <c r="AZ48" s="153">
        <v>0</v>
      </c>
      <c r="BA48" s="153">
        <v>0</v>
      </c>
      <c r="BB48" s="153">
        <v>0</v>
      </c>
      <c r="BC48" s="153">
        <v>0</v>
      </c>
      <c r="BD48" s="153">
        <v>0</v>
      </c>
      <c r="BE48" s="153">
        <v>0</v>
      </c>
      <c r="BF48" s="153">
        <v>0</v>
      </c>
      <c r="BG48" s="153">
        <v>0</v>
      </c>
      <c r="BH48" s="153">
        <v>0</v>
      </c>
      <c r="BI48" s="153">
        <v>0</v>
      </c>
      <c r="BJ48" s="153">
        <v>0</v>
      </c>
      <c r="BK48" s="153">
        <v>0</v>
      </c>
      <c r="BL48" s="153">
        <v>0</v>
      </c>
    </row>
    <row r="49" spans="2:64">
      <c r="B49" s="157" t="s">
        <v>21</v>
      </c>
    </row>
    <row r="50" spans="2:64" ht="168">
      <c r="B50" s="157" t="s">
        <v>605</v>
      </c>
      <c r="C50" s="153" t="s">
        <v>606</v>
      </c>
      <c r="D50" s="153">
        <v>200</v>
      </c>
      <c r="E50" s="153" t="s">
        <v>607</v>
      </c>
      <c r="F50" s="153">
        <v>58</v>
      </c>
      <c r="G50" s="153" t="s">
        <v>608</v>
      </c>
      <c r="H50" s="153">
        <v>36</v>
      </c>
      <c r="I50" s="153" t="s">
        <v>609</v>
      </c>
      <c r="J50" s="153">
        <v>99</v>
      </c>
      <c r="K50" s="153" t="s">
        <v>610</v>
      </c>
      <c r="L50" s="153">
        <v>40</v>
      </c>
      <c r="M50" s="153" t="s">
        <v>611</v>
      </c>
      <c r="N50" s="153">
        <v>49</v>
      </c>
      <c r="O50" s="153" t="s">
        <v>612</v>
      </c>
      <c r="P50" s="153">
        <v>32</v>
      </c>
      <c r="Q50" s="153" t="s">
        <v>613</v>
      </c>
      <c r="R50" s="153">
        <v>70</v>
      </c>
      <c r="S50" s="153" t="s">
        <v>614</v>
      </c>
      <c r="T50" s="153">
        <v>34</v>
      </c>
      <c r="U50" s="153" t="s">
        <v>615</v>
      </c>
      <c r="V50" s="153">
        <v>39</v>
      </c>
      <c r="W50" s="153" t="s">
        <v>616</v>
      </c>
      <c r="X50" s="153">
        <v>37</v>
      </c>
      <c r="Y50" s="153" t="s">
        <v>617</v>
      </c>
      <c r="Z50" s="153">
        <v>30</v>
      </c>
      <c r="AA50" s="153" t="s">
        <v>618</v>
      </c>
      <c r="AB50" s="153">
        <v>30</v>
      </c>
      <c r="AC50" s="153" t="s">
        <v>619</v>
      </c>
      <c r="AD50" s="153">
        <v>0</v>
      </c>
      <c r="AE50" s="153" t="s">
        <v>620</v>
      </c>
      <c r="AF50" s="153">
        <v>30</v>
      </c>
      <c r="AG50" s="153" t="s">
        <v>621</v>
      </c>
      <c r="AH50" s="153">
        <v>115</v>
      </c>
      <c r="AI50" s="153" t="s">
        <v>622</v>
      </c>
      <c r="AJ50" s="153">
        <v>40</v>
      </c>
      <c r="AK50" s="153" t="s">
        <v>623</v>
      </c>
      <c r="AL50" s="153">
        <v>43</v>
      </c>
      <c r="AM50" s="153" t="s">
        <v>624</v>
      </c>
      <c r="AN50" s="153">
        <v>120</v>
      </c>
      <c r="AO50" s="153">
        <v>0</v>
      </c>
      <c r="AP50" s="153">
        <v>0</v>
      </c>
      <c r="AQ50" s="153">
        <v>0</v>
      </c>
      <c r="AR50" s="153">
        <v>0</v>
      </c>
      <c r="AS50" s="153">
        <v>0</v>
      </c>
      <c r="AT50" s="153">
        <v>0</v>
      </c>
      <c r="AU50" s="153">
        <v>0</v>
      </c>
      <c r="AV50" s="153">
        <v>0</v>
      </c>
      <c r="AW50" s="153">
        <v>0</v>
      </c>
      <c r="AX50" s="153">
        <v>0</v>
      </c>
      <c r="AY50" s="153">
        <v>0</v>
      </c>
      <c r="AZ50" s="153">
        <v>0</v>
      </c>
      <c r="BA50" s="153">
        <v>0</v>
      </c>
      <c r="BB50" s="153">
        <v>0</v>
      </c>
      <c r="BC50" s="153">
        <v>0</v>
      </c>
      <c r="BD50" s="153">
        <v>0</v>
      </c>
      <c r="BE50" s="153">
        <v>0</v>
      </c>
      <c r="BF50" s="153">
        <v>0</v>
      </c>
      <c r="BG50" s="153">
        <v>0</v>
      </c>
      <c r="BH50" s="153">
        <v>0</v>
      </c>
      <c r="BI50" s="153">
        <v>0</v>
      </c>
      <c r="BJ50" s="153">
        <v>0</v>
      </c>
      <c r="BK50" s="153">
        <v>0</v>
      </c>
      <c r="BL50" s="153">
        <v>0</v>
      </c>
    </row>
    <row r="51" spans="2:64" ht="96">
      <c r="B51" s="157" t="s">
        <v>23</v>
      </c>
      <c r="C51" s="153" t="s">
        <v>630</v>
      </c>
      <c r="D51" s="153">
        <v>50</v>
      </c>
      <c r="E51" s="153" t="s">
        <v>631</v>
      </c>
      <c r="F51" s="153">
        <v>30</v>
      </c>
      <c r="G51" s="153" t="s">
        <v>632</v>
      </c>
      <c r="H51" s="153">
        <v>30</v>
      </c>
      <c r="I51" s="153">
        <v>0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  <c r="O51" s="153">
        <v>0</v>
      </c>
      <c r="P51" s="153">
        <v>0</v>
      </c>
      <c r="Q51" s="153">
        <v>0</v>
      </c>
      <c r="R51" s="153">
        <v>0</v>
      </c>
      <c r="S51" s="153">
        <v>0</v>
      </c>
      <c r="T51" s="153">
        <v>0</v>
      </c>
      <c r="U51" s="153">
        <v>0</v>
      </c>
      <c r="V51" s="153">
        <v>0</v>
      </c>
      <c r="W51" s="153">
        <v>0</v>
      </c>
      <c r="X51" s="153">
        <v>0</v>
      </c>
      <c r="Y51" s="153">
        <v>0</v>
      </c>
      <c r="Z51" s="153">
        <v>0</v>
      </c>
      <c r="AA51" s="153">
        <v>0</v>
      </c>
      <c r="AB51" s="153">
        <v>0</v>
      </c>
      <c r="AC51" s="153">
        <v>0</v>
      </c>
      <c r="AD51" s="153">
        <v>0</v>
      </c>
      <c r="AE51" s="153">
        <v>0</v>
      </c>
      <c r="AF51" s="153">
        <v>0</v>
      </c>
      <c r="AG51" s="153">
        <v>0</v>
      </c>
      <c r="AH51" s="153">
        <v>0</v>
      </c>
      <c r="AI51" s="153">
        <v>0</v>
      </c>
      <c r="AJ51" s="153">
        <v>0</v>
      </c>
      <c r="AK51" s="153">
        <v>0</v>
      </c>
      <c r="AL51" s="153">
        <v>0</v>
      </c>
      <c r="AM51" s="153">
        <v>0</v>
      </c>
      <c r="AN51" s="153">
        <v>0</v>
      </c>
      <c r="AO51" s="153">
        <v>0</v>
      </c>
      <c r="AP51" s="153">
        <v>0</v>
      </c>
      <c r="AQ51" s="153">
        <v>0</v>
      </c>
      <c r="AR51" s="153">
        <v>0</v>
      </c>
      <c r="AS51" s="153">
        <v>0</v>
      </c>
      <c r="AT51" s="153">
        <v>0</v>
      </c>
      <c r="AU51" s="153">
        <v>0</v>
      </c>
      <c r="AV51" s="153">
        <v>0</v>
      </c>
      <c r="AW51" s="153">
        <v>0</v>
      </c>
      <c r="AX51" s="153">
        <v>0</v>
      </c>
      <c r="AY51" s="153">
        <v>0</v>
      </c>
      <c r="AZ51" s="153">
        <v>0</v>
      </c>
      <c r="BA51" s="153">
        <v>0</v>
      </c>
      <c r="BB51" s="153">
        <v>0</v>
      </c>
      <c r="BC51" s="153">
        <v>0</v>
      </c>
      <c r="BD51" s="153">
        <v>0</v>
      </c>
      <c r="BE51" s="153">
        <v>0</v>
      </c>
      <c r="BF51" s="153">
        <v>0</v>
      </c>
      <c r="BG51" s="153">
        <v>0</v>
      </c>
      <c r="BH51" s="153">
        <v>0</v>
      </c>
      <c r="BI51" s="153">
        <v>0</v>
      </c>
      <c r="BJ51" s="153">
        <v>0</v>
      </c>
      <c r="BK51" s="153">
        <v>0</v>
      </c>
      <c r="BL51" s="153">
        <v>0</v>
      </c>
    </row>
    <row r="52" spans="2:64" ht="72">
      <c r="B52" s="157" t="s">
        <v>24</v>
      </c>
      <c r="C52" s="153" t="s">
        <v>367</v>
      </c>
      <c r="D52" s="153">
        <v>499</v>
      </c>
      <c r="E52" s="153" t="s">
        <v>368</v>
      </c>
      <c r="F52" s="153">
        <v>48</v>
      </c>
      <c r="G52" s="153" t="s">
        <v>369</v>
      </c>
      <c r="H52" s="153">
        <v>58</v>
      </c>
      <c r="I52" s="153" t="s">
        <v>370</v>
      </c>
      <c r="J52" s="153">
        <v>30</v>
      </c>
      <c r="K52" s="153" t="s">
        <v>371</v>
      </c>
      <c r="L52" s="153">
        <v>35</v>
      </c>
      <c r="M52" s="153">
        <v>0</v>
      </c>
      <c r="N52" s="153">
        <v>0</v>
      </c>
      <c r="O52" s="153">
        <v>0</v>
      </c>
      <c r="P52" s="153">
        <v>0</v>
      </c>
      <c r="Q52" s="153">
        <v>0</v>
      </c>
      <c r="R52" s="153">
        <v>0</v>
      </c>
      <c r="S52" s="153">
        <v>0</v>
      </c>
      <c r="T52" s="153">
        <v>0</v>
      </c>
      <c r="U52" s="153">
        <v>0</v>
      </c>
      <c r="V52" s="153">
        <v>0</v>
      </c>
      <c r="W52" s="153">
        <v>0</v>
      </c>
      <c r="X52" s="153">
        <v>0</v>
      </c>
      <c r="Y52" s="153">
        <v>0</v>
      </c>
      <c r="Z52" s="153">
        <v>0</v>
      </c>
      <c r="AA52" s="153">
        <v>0</v>
      </c>
      <c r="AB52" s="153">
        <v>0</v>
      </c>
      <c r="AC52" s="153">
        <v>0</v>
      </c>
      <c r="AD52" s="153">
        <v>0</v>
      </c>
      <c r="AE52" s="153">
        <v>0</v>
      </c>
      <c r="AF52" s="153">
        <v>0</v>
      </c>
      <c r="AG52" s="153">
        <v>0</v>
      </c>
      <c r="AH52" s="153">
        <v>0</v>
      </c>
      <c r="AI52" s="153">
        <v>0</v>
      </c>
      <c r="AJ52" s="153">
        <v>0</v>
      </c>
      <c r="AK52" s="153">
        <v>0</v>
      </c>
      <c r="AL52" s="153">
        <v>0</v>
      </c>
      <c r="AM52" s="153">
        <v>0</v>
      </c>
      <c r="AN52" s="153">
        <v>0</v>
      </c>
      <c r="AO52" s="153">
        <v>0</v>
      </c>
      <c r="AP52" s="153">
        <v>0</v>
      </c>
      <c r="AQ52" s="153">
        <v>0</v>
      </c>
      <c r="AR52" s="153">
        <v>0</v>
      </c>
      <c r="AS52" s="153">
        <v>0</v>
      </c>
      <c r="AT52" s="153">
        <v>0</v>
      </c>
      <c r="AU52" s="153">
        <v>0</v>
      </c>
      <c r="AV52" s="153">
        <v>0</v>
      </c>
      <c r="AW52" s="153">
        <v>0</v>
      </c>
      <c r="AX52" s="153">
        <v>0</v>
      </c>
      <c r="AY52" s="153">
        <v>0</v>
      </c>
      <c r="AZ52" s="153">
        <v>0</v>
      </c>
      <c r="BA52" s="153">
        <v>0</v>
      </c>
      <c r="BB52" s="153">
        <v>0</v>
      </c>
      <c r="BC52" s="153">
        <v>0</v>
      </c>
      <c r="BD52" s="153">
        <v>0</v>
      </c>
      <c r="BE52" s="153">
        <v>0</v>
      </c>
      <c r="BF52" s="153">
        <v>0</v>
      </c>
      <c r="BG52" s="153">
        <v>0</v>
      </c>
      <c r="BH52" s="153">
        <v>0</v>
      </c>
      <c r="BI52" s="153">
        <v>0</v>
      </c>
      <c r="BJ52" s="153">
        <v>0</v>
      </c>
      <c r="BK52" s="153">
        <v>0</v>
      </c>
      <c r="BL52" s="153">
        <v>0</v>
      </c>
    </row>
    <row r="53" spans="2:64" ht="144">
      <c r="B53" s="157" t="s">
        <v>25</v>
      </c>
      <c r="C53" s="153" t="s">
        <v>625</v>
      </c>
      <c r="D53" s="153">
        <v>190</v>
      </c>
      <c r="E53" s="153" t="s">
        <v>626</v>
      </c>
      <c r="F53" s="153">
        <v>21</v>
      </c>
      <c r="G53" s="153" t="s">
        <v>627</v>
      </c>
      <c r="H53" s="153">
        <v>25</v>
      </c>
      <c r="I53" s="153" t="s">
        <v>628</v>
      </c>
      <c r="J53" s="153">
        <v>48</v>
      </c>
      <c r="K53" s="153" t="s">
        <v>629</v>
      </c>
      <c r="L53" s="153">
        <v>251</v>
      </c>
      <c r="M53" s="153" t="s">
        <v>377</v>
      </c>
      <c r="N53" s="153">
        <v>80</v>
      </c>
      <c r="O53" s="153" t="s">
        <v>292</v>
      </c>
      <c r="P53" s="153">
        <v>108</v>
      </c>
      <c r="Q53" s="153">
        <v>0</v>
      </c>
      <c r="R53" s="153">
        <v>0</v>
      </c>
      <c r="S53" s="153">
        <v>0</v>
      </c>
      <c r="T53" s="153">
        <v>0</v>
      </c>
      <c r="U53" s="153">
        <v>0</v>
      </c>
      <c r="V53" s="153">
        <v>0</v>
      </c>
      <c r="W53" s="153">
        <v>0</v>
      </c>
      <c r="X53" s="153">
        <v>0</v>
      </c>
      <c r="Y53" s="153">
        <v>0</v>
      </c>
      <c r="Z53" s="153">
        <v>0</v>
      </c>
      <c r="AA53" s="153">
        <v>0</v>
      </c>
      <c r="AB53" s="153">
        <v>0</v>
      </c>
      <c r="AC53" s="153">
        <v>0</v>
      </c>
      <c r="AD53" s="153">
        <v>0</v>
      </c>
      <c r="AE53" s="153">
        <v>0</v>
      </c>
      <c r="AF53" s="153">
        <v>0</v>
      </c>
      <c r="AG53" s="153">
        <v>0</v>
      </c>
      <c r="AH53" s="153">
        <v>0</v>
      </c>
      <c r="AI53" s="153">
        <v>0</v>
      </c>
      <c r="AJ53" s="153">
        <v>0</v>
      </c>
      <c r="AK53" s="153">
        <v>0</v>
      </c>
      <c r="AL53" s="153">
        <v>0</v>
      </c>
      <c r="AM53" s="153">
        <v>0</v>
      </c>
      <c r="AN53" s="153">
        <v>0</v>
      </c>
      <c r="AO53" s="153">
        <v>0</v>
      </c>
      <c r="AP53" s="153">
        <v>0</v>
      </c>
      <c r="AQ53" s="153">
        <v>0</v>
      </c>
      <c r="AR53" s="153">
        <v>0</v>
      </c>
      <c r="AS53" s="153">
        <v>0</v>
      </c>
      <c r="AT53" s="153">
        <v>0</v>
      </c>
      <c r="AU53" s="153">
        <v>0</v>
      </c>
      <c r="AV53" s="153">
        <v>0</v>
      </c>
      <c r="AW53" s="153">
        <v>0</v>
      </c>
      <c r="AX53" s="153">
        <v>0</v>
      </c>
      <c r="AY53" s="153">
        <v>0</v>
      </c>
      <c r="AZ53" s="153">
        <v>0</v>
      </c>
      <c r="BA53" s="153">
        <v>0</v>
      </c>
      <c r="BB53" s="153">
        <v>0</v>
      </c>
      <c r="BC53" s="153">
        <v>0</v>
      </c>
      <c r="BD53" s="153">
        <v>0</v>
      </c>
      <c r="BE53" s="153">
        <v>0</v>
      </c>
      <c r="BF53" s="153">
        <v>0</v>
      </c>
      <c r="BG53" s="153">
        <v>0</v>
      </c>
      <c r="BH53" s="153">
        <v>0</v>
      </c>
      <c r="BI53" s="153">
        <v>0</v>
      </c>
      <c r="BJ53" s="153">
        <v>0</v>
      </c>
      <c r="BK53" s="153">
        <v>0</v>
      </c>
      <c r="BL53" s="153">
        <v>0</v>
      </c>
    </row>
  </sheetData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87B6C-FDC4-4F18-8F6A-EACFA20DCA35}">
  <dimension ref="B1:BT5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6" sqref="F6"/>
    </sheetView>
  </sheetViews>
  <sheetFormatPr defaultColWidth="16" defaultRowHeight="24"/>
  <cols>
    <col min="1" max="1" width="16" style="228"/>
    <col min="2" max="2" width="16" style="225"/>
    <col min="3" max="4" width="16" style="226"/>
    <col min="5" max="5" width="24.140625" style="227" customWidth="1"/>
    <col min="6" max="6" width="13" style="227" customWidth="1"/>
    <col min="7" max="66" width="13" style="228" customWidth="1"/>
    <col min="67" max="16384" width="16" style="228"/>
  </cols>
  <sheetData>
    <row r="1" spans="2:72" ht="24.75" thickBot="1">
      <c r="B1" s="225">
        <v>1</v>
      </c>
    </row>
    <row r="2" spans="2:72">
      <c r="B2" s="269" t="s">
        <v>85</v>
      </c>
      <c r="C2" s="272" t="s">
        <v>93</v>
      </c>
      <c r="D2" s="275" t="s">
        <v>92</v>
      </c>
      <c r="E2" s="268">
        <v>1</v>
      </c>
      <c r="F2" s="267"/>
      <c r="G2" s="266">
        <v>2</v>
      </c>
      <c r="H2" s="267"/>
      <c r="I2" s="266">
        <v>3</v>
      </c>
      <c r="J2" s="267"/>
      <c r="K2" s="266">
        <v>4</v>
      </c>
      <c r="L2" s="267"/>
      <c r="M2" s="266">
        <v>5</v>
      </c>
      <c r="N2" s="267"/>
      <c r="O2" s="266">
        <v>6</v>
      </c>
      <c r="P2" s="267"/>
      <c r="Q2" s="266">
        <v>7</v>
      </c>
      <c r="R2" s="267"/>
      <c r="S2" s="266">
        <v>8</v>
      </c>
      <c r="T2" s="267"/>
      <c r="U2" s="268">
        <v>9</v>
      </c>
      <c r="V2" s="267"/>
      <c r="W2" s="266">
        <v>10</v>
      </c>
      <c r="X2" s="267"/>
      <c r="Y2" s="266">
        <v>11</v>
      </c>
      <c r="Z2" s="267"/>
      <c r="AA2" s="266">
        <v>12</v>
      </c>
      <c r="AB2" s="267"/>
      <c r="AC2" s="266">
        <v>13</v>
      </c>
      <c r="AD2" s="267"/>
      <c r="AE2" s="266">
        <v>14</v>
      </c>
      <c r="AF2" s="267"/>
      <c r="AG2" s="266">
        <v>15</v>
      </c>
      <c r="AH2" s="267"/>
      <c r="AI2" s="266">
        <v>16</v>
      </c>
      <c r="AJ2" s="267"/>
      <c r="AK2" s="266">
        <v>17</v>
      </c>
      <c r="AL2" s="267"/>
      <c r="AM2" s="266">
        <v>18</v>
      </c>
      <c r="AN2" s="267"/>
      <c r="AO2" s="266">
        <v>19</v>
      </c>
      <c r="AP2" s="267"/>
      <c r="AQ2" s="266">
        <v>20</v>
      </c>
      <c r="AR2" s="267"/>
      <c r="AS2" s="266">
        <v>21</v>
      </c>
      <c r="AT2" s="267"/>
      <c r="AU2" s="266">
        <v>22</v>
      </c>
      <c r="AV2" s="267"/>
      <c r="AW2" s="266">
        <v>23</v>
      </c>
      <c r="AX2" s="267"/>
      <c r="AY2" s="266">
        <v>24</v>
      </c>
      <c r="AZ2" s="267"/>
      <c r="BA2" s="266">
        <v>25</v>
      </c>
      <c r="BB2" s="267"/>
      <c r="BC2" s="266">
        <v>26</v>
      </c>
      <c r="BD2" s="267"/>
      <c r="BE2" s="266">
        <v>27</v>
      </c>
      <c r="BF2" s="267"/>
      <c r="BG2" s="266">
        <v>28</v>
      </c>
      <c r="BH2" s="267"/>
      <c r="BI2" s="266">
        <v>29</v>
      </c>
      <c r="BJ2" s="267"/>
      <c r="BK2" s="266">
        <v>30</v>
      </c>
      <c r="BL2" s="267"/>
      <c r="BM2" s="266">
        <v>31</v>
      </c>
      <c r="BN2" s="267"/>
      <c r="BO2" s="266"/>
      <c r="BP2" s="267"/>
      <c r="BQ2" s="266"/>
      <c r="BR2" s="267"/>
      <c r="BS2" s="266"/>
      <c r="BT2" s="267"/>
    </row>
    <row r="3" spans="2:72">
      <c r="B3" s="270"/>
      <c r="C3" s="273"/>
      <c r="D3" s="276"/>
      <c r="E3" s="278" t="s">
        <v>101</v>
      </c>
      <c r="F3" s="264" t="s">
        <v>102</v>
      </c>
      <c r="G3" s="262" t="s">
        <v>101</v>
      </c>
      <c r="H3" s="264" t="s">
        <v>102</v>
      </c>
      <c r="I3" s="262" t="s">
        <v>101</v>
      </c>
      <c r="J3" s="264" t="s">
        <v>102</v>
      </c>
      <c r="K3" s="262" t="s">
        <v>101</v>
      </c>
      <c r="L3" s="264" t="s">
        <v>102</v>
      </c>
      <c r="M3" s="262" t="s">
        <v>101</v>
      </c>
      <c r="N3" s="264" t="s">
        <v>102</v>
      </c>
      <c r="O3" s="262" t="s">
        <v>101</v>
      </c>
      <c r="P3" s="264" t="s">
        <v>102</v>
      </c>
      <c r="Q3" s="262" t="s">
        <v>101</v>
      </c>
      <c r="R3" s="264" t="s">
        <v>102</v>
      </c>
      <c r="S3" s="262" t="s">
        <v>101</v>
      </c>
      <c r="T3" s="264" t="s">
        <v>102</v>
      </c>
      <c r="U3" s="262" t="s">
        <v>101</v>
      </c>
      <c r="V3" s="264" t="s">
        <v>102</v>
      </c>
      <c r="W3" s="262" t="s">
        <v>101</v>
      </c>
      <c r="X3" s="264" t="s">
        <v>102</v>
      </c>
      <c r="Y3" s="262" t="s">
        <v>101</v>
      </c>
      <c r="Z3" s="264" t="s">
        <v>102</v>
      </c>
      <c r="AA3" s="262" t="s">
        <v>101</v>
      </c>
      <c r="AB3" s="264" t="s">
        <v>102</v>
      </c>
      <c r="AC3" s="262" t="s">
        <v>101</v>
      </c>
      <c r="AD3" s="264" t="s">
        <v>102</v>
      </c>
      <c r="AE3" s="262" t="s">
        <v>101</v>
      </c>
      <c r="AF3" s="264" t="s">
        <v>102</v>
      </c>
      <c r="AG3" s="262" t="s">
        <v>101</v>
      </c>
      <c r="AH3" s="264" t="s">
        <v>102</v>
      </c>
      <c r="AI3" s="262" t="s">
        <v>101</v>
      </c>
      <c r="AJ3" s="264" t="s">
        <v>102</v>
      </c>
      <c r="AK3" s="262" t="s">
        <v>101</v>
      </c>
      <c r="AL3" s="264" t="s">
        <v>102</v>
      </c>
      <c r="AM3" s="262" t="s">
        <v>101</v>
      </c>
      <c r="AN3" s="264" t="s">
        <v>102</v>
      </c>
      <c r="AO3" s="262" t="s">
        <v>101</v>
      </c>
      <c r="AP3" s="264" t="s">
        <v>102</v>
      </c>
      <c r="AQ3" s="262" t="s">
        <v>101</v>
      </c>
      <c r="AR3" s="264" t="s">
        <v>102</v>
      </c>
      <c r="AS3" s="262" t="s">
        <v>101</v>
      </c>
      <c r="AT3" s="264" t="s">
        <v>102</v>
      </c>
      <c r="AU3" s="262" t="s">
        <v>101</v>
      </c>
      <c r="AV3" s="264" t="s">
        <v>102</v>
      </c>
      <c r="AW3" s="262" t="s">
        <v>101</v>
      </c>
      <c r="AX3" s="264" t="s">
        <v>102</v>
      </c>
      <c r="AY3" s="262" t="s">
        <v>101</v>
      </c>
      <c r="AZ3" s="264" t="s">
        <v>102</v>
      </c>
      <c r="BA3" s="262" t="s">
        <v>101</v>
      </c>
      <c r="BB3" s="264" t="s">
        <v>102</v>
      </c>
      <c r="BC3" s="262" t="s">
        <v>101</v>
      </c>
      <c r="BD3" s="264" t="s">
        <v>102</v>
      </c>
      <c r="BE3" s="262" t="s">
        <v>101</v>
      </c>
      <c r="BF3" s="264" t="s">
        <v>102</v>
      </c>
      <c r="BG3" s="262" t="s">
        <v>101</v>
      </c>
      <c r="BH3" s="264" t="s">
        <v>102</v>
      </c>
      <c r="BI3" s="262" t="s">
        <v>101</v>
      </c>
      <c r="BJ3" s="264" t="s">
        <v>102</v>
      </c>
      <c r="BK3" s="262" t="s">
        <v>101</v>
      </c>
      <c r="BL3" s="264" t="s">
        <v>102</v>
      </c>
      <c r="BM3" s="262" t="s">
        <v>101</v>
      </c>
      <c r="BN3" s="264" t="s">
        <v>102</v>
      </c>
      <c r="BO3" s="262"/>
      <c r="BP3" s="264"/>
      <c r="BQ3" s="262"/>
      <c r="BR3" s="264"/>
      <c r="BS3" s="262"/>
      <c r="BT3" s="264"/>
    </row>
    <row r="4" spans="2:72" ht="24.75" thickBot="1">
      <c r="B4" s="271"/>
      <c r="C4" s="274"/>
      <c r="D4" s="277"/>
      <c r="E4" s="279"/>
      <c r="F4" s="265"/>
      <c r="G4" s="263"/>
      <c r="H4" s="265"/>
      <c r="I4" s="263"/>
      <c r="J4" s="265"/>
      <c r="K4" s="263"/>
      <c r="L4" s="265"/>
      <c r="M4" s="263"/>
      <c r="N4" s="265"/>
      <c r="O4" s="263"/>
      <c r="P4" s="265"/>
      <c r="Q4" s="263"/>
      <c r="R4" s="265"/>
      <c r="S4" s="263"/>
      <c r="T4" s="265"/>
      <c r="U4" s="263"/>
      <c r="V4" s="265"/>
      <c r="W4" s="263"/>
      <c r="X4" s="265"/>
      <c r="Y4" s="263"/>
      <c r="Z4" s="265"/>
      <c r="AA4" s="263"/>
      <c r="AB4" s="265"/>
      <c r="AC4" s="263"/>
      <c r="AD4" s="265"/>
      <c r="AE4" s="263"/>
      <c r="AF4" s="265"/>
      <c r="AG4" s="263"/>
      <c r="AH4" s="265"/>
      <c r="AI4" s="263"/>
      <c r="AJ4" s="265"/>
      <c r="AK4" s="263"/>
      <c r="AL4" s="265"/>
      <c r="AM4" s="263"/>
      <c r="AN4" s="265"/>
      <c r="AO4" s="263"/>
      <c r="AP4" s="265"/>
      <c r="AQ4" s="263"/>
      <c r="AR4" s="265"/>
      <c r="AS4" s="263"/>
      <c r="AT4" s="265"/>
      <c r="AU4" s="263"/>
      <c r="AV4" s="265"/>
      <c r="AW4" s="263"/>
      <c r="AX4" s="265"/>
      <c r="AY4" s="263"/>
      <c r="AZ4" s="265"/>
      <c r="BA4" s="263"/>
      <c r="BB4" s="265"/>
      <c r="BC4" s="263"/>
      <c r="BD4" s="265"/>
      <c r="BE4" s="263"/>
      <c r="BF4" s="265"/>
      <c r="BG4" s="263"/>
      <c r="BH4" s="265"/>
      <c r="BI4" s="263"/>
      <c r="BJ4" s="265"/>
      <c r="BK4" s="263"/>
      <c r="BL4" s="265"/>
      <c r="BM4" s="263"/>
      <c r="BN4" s="265"/>
      <c r="BO4" s="263"/>
      <c r="BP4" s="265"/>
      <c r="BQ4" s="263"/>
      <c r="BR4" s="265"/>
      <c r="BS4" s="263"/>
      <c r="BT4" s="265"/>
    </row>
    <row r="5" spans="2:72" ht="24.75" thickBot="1">
      <c r="B5" s="53" t="s">
        <v>418</v>
      </c>
      <c r="C5" s="229">
        <f>SUM(C6:C55)</f>
        <v>343</v>
      </c>
      <c r="D5" s="229">
        <f>SUM(D6:D55)</f>
        <v>33017</v>
      </c>
      <c r="E5" s="72"/>
      <c r="F5" s="73"/>
      <c r="G5" s="74"/>
      <c r="H5" s="75"/>
      <c r="I5" s="74"/>
      <c r="J5" s="75"/>
      <c r="K5" s="74"/>
      <c r="L5" s="75"/>
      <c r="M5" s="74"/>
      <c r="N5" s="75"/>
      <c r="O5" s="74"/>
      <c r="P5" s="75"/>
      <c r="Q5" s="74"/>
      <c r="R5" s="75"/>
      <c r="S5" s="74"/>
      <c r="T5" s="75"/>
      <c r="U5" s="72"/>
      <c r="V5" s="73"/>
      <c r="W5" s="74"/>
      <c r="X5" s="75"/>
      <c r="Y5" s="74"/>
      <c r="Z5" s="75"/>
      <c r="AA5" s="74"/>
      <c r="AB5" s="75"/>
      <c r="AC5" s="74"/>
      <c r="AD5" s="75"/>
      <c r="AE5" s="74"/>
      <c r="AF5" s="75"/>
      <c r="AG5" s="74"/>
      <c r="AH5" s="75"/>
      <c r="AI5" s="74"/>
      <c r="AJ5" s="75"/>
    </row>
    <row r="6" spans="2:72" ht="96">
      <c r="B6" s="221" t="s">
        <v>18</v>
      </c>
      <c r="C6" s="230">
        <v>6</v>
      </c>
      <c r="D6" s="229">
        <f>F6+H6+J6+L6+N6+P6+R6+T6+V6+X6+Z6+AB6+AD6+AF6+AH6+AJ6+AL6+AN6+AP6+AR6+AT6+AV6+AX6+AZ6+BB6+BD6+BF6+BH6+BJ6+BL6+BN6</f>
        <v>213</v>
      </c>
      <c r="E6" s="153" t="s">
        <v>466</v>
      </c>
      <c r="F6" s="153">
        <v>32</v>
      </c>
      <c r="G6" s="153" t="s">
        <v>467</v>
      </c>
      <c r="H6" s="153">
        <v>36</v>
      </c>
      <c r="I6" s="153" t="s">
        <v>468</v>
      </c>
      <c r="J6" s="153">
        <v>41</v>
      </c>
      <c r="K6" s="153" t="s">
        <v>469</v>
      </c>
      <c r="L6" s="153">
        <v>33</v>
      </c>
      <c r="M6" s="153" t="s">
        <v>470</v>
      </c>
      <c r="N6" s="153">
        <v>31</v>
      </c>
      <c r="O6" s="153" t="s">
        <v>471</v>
      </c>
      <c r="P6" s="153">
        <v>40</v>
      </c>
      <c r="Q6" s="153">
        <v>0</v>
      </c>
      <c r="R6" s="153">
        <v>0</v>
      </c>
      <c r="S6" s="153">
        <v>0</v>
      </c>
      <c r="T6" s="153">
        <v>0</v>
      </c>
      <c r="U6" s="153">
        <v>0</v>
      </c>
      <c r="V6" s="153">
        <v>0</v>
      </c>
      <c r="W6" s="153">
        <v>0</v>
      </c>
      <c r="X6" s="153">
        <v>0</v>
      </c>
      <c r="Y6" s="153">
        <v>0</v>
      </c>
      <c r="Z6" s="153">
        <v>0</v>
      </c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</row>
    <row r="7" spans="2:72" ht="96">
      <c r="B7" s="222" t="s">
        <v>33</v>
      </c>
      <c r="C7" s="230">
        <v>13</v>
      </c>
      <c r="D7" s="229">
        <f t="shared" ref="D7:D55" si="0">F7+H7+J7+L7+N7+P7+R7+T7+V7+X7+Z7+AB7+AD7+AF7+AH7+AJ7+AL7+AN7+AP7+AR7+AT7+AV7+AX7+AZ7+BB7+BD7+BF7+BH7+BJ7+BL7+BN7</f>
        <v>490</v>
      </c>
      <c r="E7" s="153" t="s">
        <v>474</v>
      </c>
      <c r="F7" s="153">
        <v>78</v>
      </c>
      <c r="G7" s="153" t="s">
        <v>475</v>
      </c>
      <c r="H7" s="153">
        <v>131</v>
      </c>
      <c r="I7" s="153" t="s">
        <v>105</v>
      </c>
      <c r="J7" s="153">
        <v>33</v>
      </c>
      <c r="K7" s="153" t="s">
        <v>107</v>
      </c>
      <c r="L7" s="153">
        <v>30</v>
      </c>
      <c r="M7" s="153" t="s">
        <v>109</v>
      </c>
      <c r="N7" s="153">
        <v>33</v>
      </c>
      <c r="O7" s="153" t="s">
        <v>476</v>
      </c>
      <c r="P7" s="153">
        <v>30</v>
      </c>
      <c r="Q7" s="153" t="s">
        <v>477</v>
      </c>
      <c r="R7" s="153">
        <v>32</v>
      </c>
      <c r="S7" s="153" t="s">
        <v>112</v>
      </c>
      <c r="T7" s="153">
        <v>30</v>
      </c>
      <c r="U7" s="153" t="s">
        <v>478</v>
      </c>
      <c r="V7" s="153">
        <v>30</v>
      </c>
      <c r="W7" s="153" t="s">
        <v>479</v>
      </c>
      <c r="X7" s="153">
        <v>30</v>
      </c>
      <c r="Y7" s="153" t="s">
        <v>480</v>
      </c>
      <c r="Z7" s="153">
        <v>33</v>
      </c>
      <c r="AA7" s="153" t="s">
        <v>113</v>
      </c>
      <c r="AB7" s="153">
        <v>0</v>
      </c>
      <c r="AC7" s="153" t="s">
        <v>481</v>
      </c>
      <c r="AD7" s="153">
        <v>0</v>
      </c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</row>
    <row r="8" spans="2:72" s="233" customFormat="1">
      <c r="B8" s="223" t="s">
        <v>34</v>
      </c>
      <c r="C8" s="231">
        <v>2</v>
      </c>
      <c r="D8" s="232">
        <f t="shared" si="0"/>
        <v>146</v>
      </c>
      <c r="E8" s="160" t="s">
        <v>116</v>
      </c>
      <c r="F8" s="161">
        <v>98</v>
      </c>
      <c r="G8" s="160" t="s">
        <v>117</v>
      </c>
      <c r="H8" s="161">
        <v>48</v>
      </c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</row>
    <row r="9" spans="2:72" ht="48">
      <c r="B9" s="222" t="s">
        <v>35</v>
      </c>
      <c r="C9" s="230">
        <v>1</v>
      </c>
      <c r="D9" s="229">
        <f t="shared" si="0"/>
        <v>40</v>
      </c>
      <c r="E9" s="153" t="s">
        <v>118</v>
      </c>
      <c r="F9" s="153">
        <v>40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0</v>
      </c>
      <c r="W9" s="153">
        <v>0</v>
      </c>
      <c r="X9" s="153">
        <v>0</v>
      </c>
      <c r="Y9" s="153">
        <v>0</v>
      </c>
      <c r="Z9" s="153">
        <v>0</v>
      </c>
      <c r="AA9" s="153">
        <v>0</v>
      </c>
      <c r="AB9" s="153">
        <v>0</v>
      </c>
      <c r="AC9" s="153">
        <v>0</v>
      </c>
      <c r="AD9" s="153">
        <v>0</v>
      </c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</row>
    <row r="10" spans="2:72" ht="48">
      <c r="B10" s="222" t="s">
        <v>29</v>
      </c>
      <c r="C10" s="230">
        <v>1</v>
      </c>
      <c r="D10" s="229">
        <f t="shared" si="0"/>
        <v>40</v>
      </c>
      <c r="E10" s="234" t="s">
        <v>482</v>
      </c>
      <c r="F10" s="153">
        <v>40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</row>
    <row r="11" spans="2:72" ht="72">
      <c r="B11" s="222" t="s">
        <v>36</v>
      </c>
      <c r="C11" s="230">
        <v>3</v>
      </c>
      <c r="D11" s="229">
        <f t="shared" si="0"/>
        <v>416</v>
      </c>
      <c r="E11" s="153" t="s">
        <v>483</v>
      </c>
      <c r="F11" s="153">
        <v>249</v>
      </c>
      <c r="G11" s="153" t="s">
        <v>484</v>
      </c>
      <c r="H11" s="153">
        <v>130</v>
      </c>
      <c r="I11" s="153" t="s">
        <v>485</v>
      </c>
      <c r="J11" s="153">
        <v>37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</row>
    <row r="12" spans="2:72" s="233" customFormat="1">
      <c r="B12" s="223" t="s">
        <v>37</v>
      </c>
      <c r="C12" s="231">
        <v>2</v>
      </c>
      <c r="D12" s="232">
        <f t="shared" si="0"/>
        <v>20</v>
      </c>
      <c r="E12" s="160" t="s">
        <v>420</v>
      </c>
      <c r="F12" s="161">
        <v>10</v>
      </c>
      <c r="G12" s="160" t="s">
        <v>421</v>
      </c>
      <c r="H12" s="161">
        <v>10</v>
      </c>
      <c r="I12" s="160">
        <v>0</v>
      </c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</row>
    <row r="13" spans="2:72" s="233" customFormat="1">
      <c r="B13" s="223" t="s">
        <v>38</v>
      </c>
      <c r="C13" s="231">
        <v>1</v>
      </c>
      <c r="D13" s="232">
        <f t="shared" si="0"/>
        <v>75</v>
      </c>
      <c r="E13" s="160" t="s">
        <v>124</v>
      </c>
      <c r="F13" s="161">
        <v>75</v>
      </c>
      <c r="G13" s="160">
        <v>0</v>
      </c>
      <c r="H13" s="161">
        <v>0</v>
      </c>
      <c r="I13" s="160">
        <v>0</v>
      </c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</row>
    <row r="14" spans="2:72" ht="120">
      <c r="B14" s="222" t="s">
        <v>39</v>
      </c>
      <c r="C14" s="230">
        <v>5</v>
      </c>
      <c r="D14" s="229">
        <f t="shared" si="0"/>
        <v>705</v>
      </c>
      <c r="E14" s="153" t="s">
        <v>125</v>
      </c>
      <c r="F14" s="153">
        <v>432</v>
      </c>
      <c r="G14" s="153" t="s">
        <v>126</v>
      </c>
      <c r="H14" s="153">
        <v>71</v>
      </c>
      <c r="I14" s="153" t="s">
        <v>486</v>
      </c>
      <c r="J14" s="153">
        <v>37</v>
      </c>
      <c r="K14" s="153" t="s">
        <v>128</v>
      </c>
      <c r="L14" s="153">
        <v>65</v>
      </c>
      <c r="M14" s="153" t="s">
        <v>127</v>
      </c>
      <c r="N14" s="153">
        <v>100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</row>
    <row r="15" spans="2:72" ht="72">
      <c r="B15" s="222" t="s">
        <v>40</v>
      </c>
      <c r="C15" s="230">
        <v>2</v>
      </c>
      <c r="D15" s="229">
        <f t="shared" si="0"/>
        <v>206</v>
      </c>
      <c r="E15" s="153" t="s">
        <v>487</v>
      </c>
      <c r="F15" s="153">
        <v>44</v>
      </c>
      <c r="G15" s="153" t="s">
        <v>488</v>
      </c>
      <c r="H15" s="153">
        <v>162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</row>
    <row r="16" spans="2:72">
      <c r="B16" s="222" t="s">
        <v>41</v>
      </c>
      <c r="C16" s="230">
        <v>1</v>
      </c>
      <c r="D16" s="229">
        <f t="shared" si="0"/>
        <v>250</v>
      </c>
      <c r="E16" s="153" t="s">
        <v>489</v>
      </c>
      <c r="F16" s="153">
        <v>250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</row>
    <row r="17" spans="2:66" ht="48">
      <c r="B17" s="222" t="s">
        <v>42</v>
      </c>
      <c r="C17" s="230">
        <v>6</v>
      </c>
      <c r="D17" s="229">
        <f t="shared" si="0"/>
        <v>431</v>
      </c>
      <c r="E17" s="153" t="s">
        <v>132</v>
      </c>
      <c r="F17" s="153">
        <v>68</v>
      </c>
      <c r="G17" s="153" t="s">
        <v>133</v>
      </c>
      <c r="H17" s="153">
        <v>39</v>
      </c>
      <c r="I17" s="153" t="s">
        <v>134</v>
      </c>
      <c r="J17" s="153">
        <v>45</v>
      </c>
      <c r="K17" s="153" t="s">
        <v>135</v>
      </c>
      <c r="L17" s="153">
        <v>118</v>
      </c>
      <c r="M17" s="153" t="s">
        <v>136</v>
      </c>
      <c r="N17" s="153">
        <v>62</v>
      </c>
      <c r="O17" s="153" t="s">
        <v>137</v>
      </c>
      <c r="P17" s="153">
        <v>99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0</v>
      </c>
      <c r="AB17" s="153">
        <v>0</v>
      </c>
      <c r="AC17" s="153">
        <v>0</v>
      </c>
      <c r="AD17" s="153">
        <v>0</v>
      </c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</row>
    <row r="18" spans="2:66" s="237" customFormat="1" ht="72">
      <c r="B18" s="224" t="s">
        <v>43</v>
      </c>
      <c r="C18" s="235">
        <v>6</v>
      </c>
      <c r="D18" s="236">
        <v>705</v>
      </c>
      <c r="E18" s="159" t="s">
        <v>138</v>
      </c>
      <c r="F18" s="159">
        <v>30</v>
      </c>
      <c r="G18" s="159" t="s">
        <v>139</v>
      </c>
      <c r="H18" s="159">
        <v>30</v>
      </c>
      <c r="I18" s="159" t="s">
        <v>140</v>
      </c>
      <c r="J18" s="159">
        <v>35</v>
      </c>
      <c r="K18" s="159" t="s">
        <v>141</v>
      </c>
      <c r="L18" s="159">
        <v>500</v>
      </c>
      <c r="M18" s="159" t="s">
        <v>142</v>
      </c>
      <c r="N18" s="159">
        <v>70</v>
      </c>
      <c r="O18" s="159" t="s">
        <v>143</v>
      </c>
      <c r="P18" s="159">
        <v>40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59">
        <v>0</v>
      </c>
      <c r="AC18" s="159">
        <v>0</v>
      </c>
      <c r="AD18" s="159">
        <v>0</v>
      </c>
      <c r="AE18" s="159">
        <v>0</v>
      </c>
      <c r="AF18" s="159">
        <v>0</v>
      </c>
      <c r="AG18" s="159">
        <v>0</v>
      </c>
      <c r="AH18" s="159">
        <v>0</v>
      </c>
      <c r="AI18" s="159">
        <v>0</v>
      </c>
      <c r="AJ18" s="159">
        <v>0</v>
      </c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</row>
    <row r="19" spans="2:66" ht="144">
      <c r="B19" s="222" t="s">
        <v>44</v>
      </c>
      <c r="C19" s="230">
        <v>4</v>
      </c>
      <c r="D19" s="229">
        <f t="shared" si="0"/>
        <v>609</v>
      </c>
      <c r="E19" s="153" t="s">
        <v>144</v>
      </c>
      <c r="F19" s="153">
        <v>125</v>
      </c>
      <c r="G19" s="153" t="s">
        <v>145</v>
      </c>
      <c r="H19" s="153">
        <v>240</v>
      </c>
      <c r="I19" s="153" t="s">
        <v>490</v>
      </c>
      <c r="J19" s="153">
        <v>214</v>
      </c>
      <c r="K19" s="153" t="s">
        <v>491</v>
      </c>
      <c r="L19" s="153">
        <v>30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0</v>
      </c>
      <c r="AB19" s="153">
        <v>0</v>
      </c>
      <c r="AC19" s="153">
        <v>0</v>
      </c>
      <c r="AD19" s="153">
        <v>0</v>
      </c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</row>
    <row r="20" spans="2:66" s="237" customFormat="1" ht="144">
      <c r="B20" s="224" t="s">
        <v>45</v>
      </c>
      <c r="C20" s="235">
        <v>13</v>
      </c>
      <c r="D20" s="236">
        <v>1234</v>
      </c>
      <c r="E20" s="159" t="s">
        <v>148</v>
      </c>
      <c r="F20" s="159">
        <v>45</v>
      </c>
      <c r="G20" s="159" t="s">
        <v>149</v>
      </c>
      <c r="H20" s="159">
        <v>300</v>
      </c>
      <c r="I20" s="159" t="s">
        <v>150</v>
      </c>
      <c r="J20" s="159">
        <v>100</v>
      </c>
      <c r="K20" s="159" t="s">
        <v>151</v>
      </c>
      <c r="L20" s="159">
        <v>36</v>
      </c>
      <c r="M20" s="159" t="s">
        <v>152</v>
      </c>
      <c r="N20" s="159">
        <v>170</v>
      </c>
      <c r="O20" s="159" t="s">
        <v>153</v>
      </c>
      <c r="P20" s="159">
        <v>85</v>
      </c>
      <c r="Q20" s="159" t="s">
        <v>154</v>
      </c>
      <c r="R20" s="159">
        <v>100</v>
      </c>
      <c r="S20" s="159" t="s">
        <v>155</v>
      </c>
      <c r="T20" s="159">
        <v>150</v>
      </c>
      <c r="U20" s="159" t="s">
        <v>156</v>
      </c>
      <c r="V20" s="159">
        <v>38</v>
      </c>
      <c r="W20" s="159" t="s">
        <v>157</v>
      </c>
      <c r="X20" s="159">
        <v>70</v>
      </c>
      <c r="Y20" s="159" t="s">
        <v>158</v>
      </c>
      <c r="Z20" s="159">
        <v>45</v>
      </c>
      <c r="AA20" s="159" t="s">
        <v>159</v>
      </c>
      <c r="AB20" s="159">
        <v>60</v>
      </c>
      <c r="AC20" s="159" t="s">
        <v>160</v>
      </c>
      <c r="AD20" s="159">
        <v>35</v>
      </c>
      <c r="AE20" s="159">
        <v>0</v>
      </c>
      <c r="AF20" s="159">
        <v>0</v>
      </c>
      <c r="AG20" s="159">
        <v>0</v>
      </c>
      <c r="AH20" s="159">
        <v>0</v>
      </c>
      <c r="AI20" s="159">
        <v>0</v>
      </c>
      <c r="AJ20" s="159">
        <v>0</v>
      </c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</row>
    <row r="21" spans="2:66" ht="144">
      <c r="B21" s="222" t="s">
        <v>46</v>
      </c>
      <c r="C21" s="230">
        <v>4</v>
      </c>
      <c r="D21" s="229">
        <f t="shared" si="0"/>
        <v>270</v>
      </c>
      <c r="E21" s="153" t="s">
        <v>161</v>
      </c>
      <c r="F21" s="153">
        <v>85</v>
      </c>
      <c r="G21" s="153" t="s">
        <v>162</v>
      </c>
      <c r="H21" s="153">
        <v>60</v>
      </c>
      <c r="I21" s="153" t="s">
        <v>492</v>
      </c>
      <c r="J21" s="153">
        <v>65</v>
      </c>
      <c r="K21" s="153" t="s">
        <v>493</v>
      </c>
      <c r="L21" s="153">
        <v>60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153">
        <v>0</v>
      </c>
      <c r="AC21" s="153">
        <v>0</v>
      </c>
      <c r="AD21" s="153">
        <v>0</v>
      </c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</row>
    <row r="22" spans="2:66" ht="96">
      <c r="B22" s="222" t="s">
        <v>47</v>
      </c>
      <c r="C22" s="230">
        <v>3</v>
      </c>
      <c r="D22" s="229">
        <f t="shared" si="0"/>
        <v>246</v>
      </c>
      <c r="E22" s="153" t="s">
        <v>494</v>
      </c>
      <c r="F22" s="153">
        <v>68</v>
      </c>
      <c r="G22" s="153" t="s">
        <v>495</v>
      </c>
      <c r="H22" s="153">
        <v>98</v>
      </c>
      <c r="I22" s="153" t="s">
        <v>496</v>
      </c>
      <c r="J22" s="153">
        <v>80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  <c r="Z22" s="153">
        <v>0</v>
      </c>
      <c r="AA22" s="153">
        <v>0</v>
      </c>
      <c r="AB22" s="153">
        <v>0</v>
      </c>
      <c r="AC22" s="153">
        <v>0</v>
      </c>
      <c r="AD22" s="153">
        <v>0</v>
      </c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</row>
    <row r="23" spans="2:66" ht="120">
      <c r="B23" s="222" t="s">
        <v>49</v>
      </c>
      <c r="C23" s="230">
        <v>5</v>
      </c>
      <c r="D23" s="229">
        <f t="shared" si="0"/>
        <v>490</v>
      </c>
      <c r="E23" s="153" t="s">
        <v>497</v>
      </c>
      <c r="F23" s="153">
        <v>129</v>
      </c>
      <c r="G23" s="153" t="s">
        <v>498</v>
      </c>
      <c r="H23" s="153">
        <v>63</v>
      </c>
      <c r="I23" s="153" t="s">
        <v>169</v>
      </c>
      <c r="J23" s="153">
        <v>67</v>
      </c>
      <c r="K23" s="153" t="s">
        <v>170</v>
      </c>
      <c r="L23" s="153">
        <v>65</v>
      </c>
      <c r="M23" s="153" t="s">
        <v>499</v>
      </c>
      <c r="N23" s="153">
        <v>166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3">
        <v>0</v>
      </c>
      <c r="AA23" s="153">
        <v>0</v>
      </c>
      <c r="AB23" s="153">
        <v>0</v>
      </c>
      <c r="AC23" s="153">
        <v>0</v>
      </c>
      <c r="AD23" s="153">
        <v>0</v>
      </c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</row>
    <row r="24" spans="2:66" s="233" customFormat="1" ht="144">
      <c r="B24" s="223" t="s">
        <v>48</v>
      </c>
      <c r="C24" s="231">
        <v>6</v>
      </c>
      <c r="D24" s="232">
        <f>F24+H24+J24+L24+N24+P24+R24+T24+V24+X24+Z24+AB24+AD24+AF24+AH24+AJ24+AL24+AN24+AP24+AR24+AT24+AV24+AX24+AZ24+BB24+BD24+BF24+BH24+BJ24+BL24+BN24</f>
        <v>761</v>
      </c>
      <c r="E24" s="162" t="s">
        <v>642</v>
      </c>
      <c r="F24" s="162">
        <v>250</v>
      </c>
      <c r="G24" s="162" t="s">
        <v>643</v>
      </c>
      <c r="H24" s="162">
        <v>124</v>
      </c>
      <c r="I24" s="162" t="s">
        <v>644</v>
      </c>
      <c r="J24" s="162">
        <v>145</v>
      </c>
      <c r="K24" s="162" t="s">
        <v>645</v>
      </c>
      <c r="L24" s="162">
        <v>43</v>
      </c>
      <c r="M24" s="162" t="s">
        <v>646</v>
      </c>
      <c r="N24" s="162">
        <v>131</v>
      </c>
      <c r="O24" s="162" t="s">
        <v>647</v>
      </c>
      <c r="P24" s="162">
        <v>68</v>
      </c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</row>
    <row r="25" spans="2:66" ht="72">
      <c r="B25" s="222" t="s">
        <v>73</v>
      </c>
      <c r="C25" s="230">
        <v>12</v>
      </c>
      <c r="D25" s="229">
        <f t="shared" si="0"/>
        <v>718</v>
      </c>
      <c r="E25" s="153" t="s">
        <v>500</v>
      </c>
      <c r="F25" s="153">
        <v>50</v>
      </c>
      <c r="G25" s="153" t="s">
        <v>501</v>
      </c>
      <c r="H25" s="153">
        <v>100</v>
      </c>
      <c r="I25" s="153" t="s">
        <v>502</v>
      </c>
      <c r="J25" s="153">
        <v>30</v>
      </c>
      <c r="K25" s="153" t="s">
        <v>503</v>
      </c>
      <c r="L25" s="153">
        <v>50</v>
      </c>
      <c r="M25" s="153" t="s">
        <v>504</v>
      </c>
      <c r="N25" s="153">
        <v>50</v>
      </c>
      <c r="O25" s="153" t="s">
        <v>505</v>
      </c>
      <c r="P25" s="153">
        <v>26</v>
      </c>
      <c r="Q25" s="153" t="s">
        <v>506</v>
      </c>
      <c r="R25" s="153">
        <v>25</v>
      </c>
      <c r="S25" s="153" t="s">
        <v>507</v>
      </c>
      <c r="T25" s="153">
        <v>22</v>
      </c>
      <c r="U25" s="153" t="s">
        <v>508</v>
      </c>
      <c r="V25" s="153">
        <v>20</v>
      </c>
      <c r="W25" s="153" t="s">
        <v>509</v>
      </c>
      <c r="X25" s="153">
        <v>25</v>
      </c>
      <c r="Y25" s="153" t="s">
        <v>510</v>
      </c>
      <c r="Z25" s="153">
        <v>20</v>
      </c>
      <c r="AA25" s="153" t="s">
        <v>511</v>
      </c>
      <c r="AB25" s="153">
        <v>300</v>
      </c>
      <c r="AC25" s="153">
        <v>0</v>
      </c>
      <c r="AD25" s="153">
        <v>0</v>
      </c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</row>
    <row r="26" spans="2:66" ht="48">
      <c r="B26" s="222" t="s">
        <v>72</v>
      </c>
      <c r="C26" s="230">
        <v>9</v>
      </c>
      <c r="D26" s="229">
        <f t="shared" si="0"/>
        <v>417</v>
      </c>
      <c r="E26" s="153" t="s">
        <v>184</v>
      </c>
      <c r="F26" s="153">
        <v>30</v>
      </c>
      <c r="G26" s="153" t="s">
        <v>186</v>
      </c>
      <c r="H26" s="153">
        <v>36</v>
      </c>
      <c r="I26" s="153" t="s">
        <v>188</v>
      </c>
      <c r="J26" s="153">
        <v>35</v>
      </c>
      <c r="K26" s="153" t="s">
        <v>189</v>
      </c>
      <c r="L26" s="153">
        <v>30</v>
      </c>
      <c r="M26" s="153" t="s">
        <v>512</v>
      </c>
      <c r="N26" s="153">
        <v>46</v>
      </c>
      <c r="O26" s="153" t="s">
        <v>513</v>
      </c>
      <c r="P26" s="153">
        <v>30</v>
      </c>
      <c r="Q26" s="153" t="s">
        <v>192</v>
      </c>
      <c r="R26" s="153">
        <v>25</v>
      </c>
      <c r="S26" s="153" t="s">
        <v>195</v>
      </c>
      <c r="T26" s="153">
        <v>35</v>
      </c>
      <c r="U26" s="153" t="s">
        <v>514</v>
      </c>
      <c r="V26" s="153">
        <v>150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  <c r="AB26" s="153">
        <v>0</v>
      </c>
      <c r="AC26" s="153">
        <v>0</v>
      </c>
      <c r="AD26" s="153">
        <v>0</v>
      </c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</row>
    <row r="27" spans="2:66">
      <c r="B27" s="222" t="s">
        <v>71</v>
      </c>
      <c r="C27" s="230">
        <v>1</v>
      </c>
      <c r="D27" s="229">
        <f t="shared" si="0"/>
        <v>56</v>
      </c>
      <c r="E27" s="153" t="s">
        <v>515</v>
      </c>
      <c r="F27" s="153">
        <v>56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153">
        <v>0</v>
      </c>
      <c r="AC27" s="153">
        <v>0</v>
      </c>
      <c r="AD27" s="153">
        <v>0</v>
      </c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</row>
    <row r="28" spans="2:66" ht="120">
      <c r="B28" s="222" t="s">
        <v>70</v>
      </c>
      <c r="C28" s="230">
        <v>12</v>
      </c>
      <c r="D28" s="229">
        <f t="shared" si="0"/>
        <v>1336</v>
      </c>
      <c r="E28" s="153" t="s">
        <v>199</v>
      </c>
      <c r="F28" s="153">
        <v>87</v>
      </c>
      <c r="G28" s="153" t="s">
        <v>200</v>
      </c>
      <c r="H28" s="153">
        <v>40</v>
      </c>
      <c r="I28" s="153" t="s">
        <v>201</v>
      </c>
      <c r="J28" s="153">
        <v>61</v>
      </c>
      <c r="K28" s="153" t="s">
        <v>202</v>
      </c>
      <c r="L28" s="153">
        <v>148</v>
      </c>
      <c r="M28" s="153" t="s">
        <v>203</v>
      </c>
      <c r="N28" s="153">
        <v>124</v>
      </c>
      <c r="O28" s="153" t="s">
        <v>204</v>
      </c>
      <c r="P28" s="153">
        <v>212</v>
      </c>
      <c r="Q28" s="153" t="s">
        <v>516</v>
      </c>
      <c r="R28" s="153">
        <v>41</v>
      </c>
      <c r="S28" s="153" t="s">
        <v>206</v>
      </c>
      <c r="T28" s="153">
        <v>148</v>
      </c>
      <c r="U28" s="153" t="s">
        <v>517</v>
      </c>
      <c r="V28" s="153">
        <v>57</v>
      </c>
      <c r="W28" s="153" t="s">
        <v>208</v>
      </c>
      <c r="X28" s="153">
        <v>169</v>
      </c>
      <c r="Y28" s="153" t="s">
        <v>209</v>
      </c>
      <c r="Z28" s="153">
        <v>140</v>
      </c>
      <c r="AA28" s="153" t="s">
        <v>518</v>
      </c>
      <c r="AB28" s="153">
        <v>109</v>
      </c>
      <c r="AC28" s="153">
        <v>0</v>
      </c>
      <c r="AD28" s="153">
        <v>0</v>
      </c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</row>
    <row r="29" spans="2:66" ht="48">
      <c r="B29" s="222" t="s">
        <v>69</v>
      </c>
      <c r="C29" s="230">
        <v>30</v>
      </c>
      <c r="D29" s="229">
        <f t="shared" si="0"/>
        <v>2921</v>
      </c>
      <c r="E29" s="153" t="s">
        <v>519</v>
      </c>
      <c r="F29" s="153">
        <v>118</v>
      </c>
      <c r="G29" s="153" t="s">
        <v>520</v>
      </c>
      <c r="H29" s="153">
        <v>79</v>
      </c>
      <c r="I29" s="153" t="s">
        <v>521</v>
      </c>
      <c r="J29" s="153">
        <v>40</v>
      </c>
      <c r="K29" s="153" t="s">
        <v>522</v>
      </c>
      <c r="L29" s="153">
        <v>310</v>
      </c>
      <c r="M29" s="153" t="s">
        <v>523</v>
      </c>
      <c r="N29" s="153">
        <v>89</v>
      </c>
      <c r="O29" s="153" t="s">
        <v>524</v>
      </c>
      <c r="P29" s="153">
        <v>169</v>
      </c>
      <c r="Q29" s="153" t="s">
        <v>525</v>
      </c>
      <c r="R29" s="153">
        <v>168</v>
      </c>
      <c r="S29" s="153" t="s">
        <v>526</v>
      </c>
      <c r="T29" s="153">
        <v>83</v>
      </c>
      <c r="U29" s="153" t="s">
        <v>527</v>
      </c>
      <c r="V29" s="153">
        <v>44</v>
      </c>
      <c r="W29" s="153" t="s">
        <v>528</v>
      </c>
      <c r="X29" s="153">
        <v>24</v>
      </c>
      <c r="Y29" s="153" t="s">
        <v>529</v>
      </c>
      <c r="Z29" s="153">
        <v>41</v>
      </c>
      <c r="AA29" s="153" t="s">
        <v>530</v>
      </c>
      <c r="AB29" s="153">
        <v>60</v>
      </c>
      <c r="AC29" s="153" t="s">
        <v>531</v>
      </c>
      <c r="AD29" s="153">
        <v>40</v>
      </c>
      <c r="AE29" s="153" t="s">
        <v>532</v>
      </c>
      <c r="AF29" s="153">
        <v>38</v>
      </c>
      <c r="AG29" s="153" t="s">
        <v>533</v>
      </c>
      <c r="AH29" s="153">
        <v>38</v>
      </c>
      <c r="AI29" s="153" t="s">
        <v>534</v>
      </c>
      <c r="AJ29" s="153">
        <v>101</v>
      </c>
      <c r="AK29" s="153" t="s">
        <v>535</v>
      </c>
      <c r="AL29" s="153">
        <v>50</v>
      </c>
      <c r="AM29" s="153" t="s">
        <v>536</v>
      </c>
      <c r="AN29" s="153">
        <v>87</v>
      </c>
      <c r="AO29" s="153" t="s">
        <v>537</v>
      </c>
      <c r="AP29" s="153">
        <v>93</v>
      </c>
      <c r="AQ29" s="153" t="s">
        <v>538</v>
      </c>
      <c r="AR29" s="153">
        <v>160</v>
      </c>
      <c r="AS29" s="153" t="s">
        <v>539</v>
      </c>
      <c r="AT29" s="153">
        <v>105</v>
      </c>
      <c r="AU29" s="153" t="s">
        <v>540</v>
      </c>
      <c r="AV29" s="153">
        <v>310</v>
      </c>
      <c r="AW29" s="153" t="s">
        <v>541</v>
      </c>
      <c r="AX29" s="153">
        <v>174</v>
      </c>
      <c r="AY29" s="153" t="s">
        <v>542</v>
      </c>
      <c r="AZ29" s="153">
        <v>161</v>
      </c>
      <c r="BA29" s="153" t="s">
        <v>543</v>
      </c>
      <c r="BB29" s="153">
        <v>60</v>
      </c>
      <c r="BC29" s="153" t="s">
        <v>544</v>
      </c>
      <c r="BD29" s="153">
        <v>30</v>
      </c>
      <c r="BE29" s="153" t="s">
        <v>545</v>
      </c>
      <c r="BF29" s="153">
        <v>152</v>
      </c>
      <c r="BG29" s="153" t="s">
        <v>546</v>
      </c>
      <c r="BH29" s="153">
        <v>60</v>
      </c>
      <c r="BI29" s="153" t="s">
        <v>547</v>
      </c>
      <c r="BJ29" s="153">
        <v>20</v>
      </c>
      <c r="BK29" s="153" t="s">
        <v>548</v>
      </c>
      <c r="BL29" s="153">
        <v>17</v>
      </c>
      <c r="BM29" s="153">
        <v>0</v>
      </c>
      <c r="BN29" s="153">
        <v>0</v>
      </c>
    </row>
    <row r="30" spans="2:66" ht="144">
      <c r="B30" s="222" t="s">
        <v>68</v>
      </c>
      <c r="C30" s="230">
        <v>11</v>
      </c>
      <c r="D30" s="229">
        <f t="shared" si="0"/>
        <v>1116</v>
      </c>
      <c r="E30" s="153" t="s">
        <v>567</v>
      </c>
      <c r="F30" s="153">
        <v>192</v>
      </c>
      <c r="G30" s="153" t="s">
        <v>212</v>
      </c>
      <c r="H30" s="153">
        <v>46</v>
      </c>
      <c r="I30" s="153" t="s">
        <v>568</v>
      </c>
      <c r="J30" s="153">
        <v>69</v>
      </c>
      <c r="K30" s="153" t="s">
        <v>214</v>
      </c>
      <c r="L30" s="153">
        <v>103</v>
      </c>
      <c r="M30" s="153" t="s">
        <v>215</v>
      </c>
      <c r="N30" s="153">
        <v>46</v>
      </c>
      <c r="O30" s="153" t="s">
        <v>216</v>
      </c>
      <c r="P30" s="153">
        <v>116</v>
      </c>
      <c r="Q30" s="153" t="s">
        <v>217</v>
      </c>
      <c r="R30" s="153">
        <v>200</v>
      </c>
      <c r="S30" s="153" t="s">
        <v>218</v>
      </c>
      <c r="T30" s="153">
        <v>59</v>
      </c>
      <c r="U30" s="153" t="s">
        <v>569</v>
      </c>
      <c r="V30" s="153">
        <v>142</v>
      </c>
      <c r="W30" s="153" t="s">
        <v>220</v>
      </c>
      <c r="X30" s="153">
        <v>80</v>
      </c>
      <c r="Y30" s="153" t="s">
        <v>221</v>
      </c>
      <c r="Z30" s="153">
        <v>63</v>
      </c>
      <c r="AA30" s="153">
        <v>0</v>
      </c>
      <c r="AB30" s="153">
        <v>0</v>
      </c>
      <c r="AC30" s="153">
        <v>0</v>
      </c>
      <c r="AD30" s="153">
        <v>0</v>
      </c>
      <c r="AE30" s="153">
        <v>0</v>
      </c>
      <c r="AF30" s="153">
        <v>0</v>
      </c>
      <c r="AG30" s="153">
        <v>0</v>
      </c>
      <c r="AH30" s="153">
        <v>0</v>
      </c>
      <c r="AI30" s="153">
        <v>0</v>
      </c>
      <c r="AJ30" s="153">
        <v>0</v>
      </c>
      <c r="AK30" s="153">
        <v>0</v>
      </c>
      <c r="AL30" s="153">
        <v>0</v>
      </c>
      <c r="AM30" s="153">
        <v>0</v>
      </c>
      <c r="AN30" s="153">
        <v>0</v>
      </c>
      <c r="AO30" s="153">
        <v>0</v>
      </c>
      <c r="AP30" s="153">
        <v>0</v>
      </c>
      <c r="AQ30" s="153">
        <v>0</v>
      </c>
      <c r="AR30" s="153">
        <v>0</v>
      </c>
      <c r="AS30" s="153">
        <v>0</v>
      </c>
      <c r="AT30" s="153">
        <v>0</v>
      </c>
      <c r="AU30" s="153">
        <v>0</v>
      </c>
      <c r="AV30" s="153">
        <v>0</v>
      </c>
      <c r="AW30" s="153">
        <v>0</v>
      </c>
      <c r="AX30" s="153">
        <v>0</v>
      </c>
      <c r="AY30" s="153">
        <v>0</v>
      </c>
      <c r="AZ30" s="153">
        <v>0</v>
      </c>
      <c r="BA30" s="153">
        <v>0</v>
      </c>
      <c r="BB30" s="153">
        <v>0</v>
      </c>
      <c r="BC30" s="153">
        <v>0</v>
      </c>
      <c r="BD30" s="153">
        <v>0</v>
      </c>
      <c r="BE30" s="153">
        <v>0</v>
      </c>
      <c r="BF30" s="153">
        <v>0</v>
      </c>
      <c r="BG30" s="153">
        <v>0</v>
      </c>
      <c r="BH30" s="153">
        <v>0</v>
      </c>
      <c r="BI30" s="153">
        <v>0</v>
      </c>
      <c r="BJ30" s="153">
        <v>0</v>
      </c>
      <c r="BK30" s="153">
        <v>0</v>
      </c>
      <c r="BL30" s="153">
        <v>0</v>
      </c>
      <c r="BM30" s="153">
        <v>0</v>
      </c>
      <c r="BN30" s="153">
        <v>0</v>
      </c>
    </row>
    <row r="31" spans="2:66" ht="96">
      <c r="B31" s="222" t="s">
        <v>67</v>
      </c>
      <c r="C31" s="230">
        <v>14</v>
      </c>
      <c r="D31" s="229">
        <f t="shared" si="0"/>
        <v>2011</v>
      </c>
      <c r="E31" s="153" t="s">
        <v>222</v>
      </c>
      <c r="F31" s="153">
        <v>150</v>
      </c>
      <c r="G31" s="153" t="s">
        <v>223</v>
      </c>
      <c r="H31" s="153">
        <v>75</v>
      </c>
      <c r="I31" s="153" t="s">
        <v>224</v>
      </c>
      <c r="J31" s="153">
        <v>226</v>
      </c>
      <c r="K31" s="153" t="s">
        <v>225</v>
      </c>
      <c r="L31" s="153">
        <v>252</v>
      </c>
      <c r="M31" s="153" t="s">
        <v>226</v>
      </c>
      <c r="N31" s="153">
        <v>54</v>
      </c>
      <c r="O31" s="153" t="s">
        <v>227</v>
      </c>
      <c r="P31" s="153">
        <v>60</v>
      </c>
      <c r="Q31" s="153" t="s">
        <v>228</v>
      </c>
      <c r="R31" s="153">
        <v>20</v>
      </c>
      <c r="S31" s="153" t="s">
        <v>229</v>
      </c>
      <c r="T31" s="153">
        <v>339</v>
      </c>
      <c r="U31" s="153" t="s">
        <v>230</v>
      </c>
      <c r="V31" s="153">
        <v>193</v>
      </c>
      <c r="W31" s="153" t="s">
        <v>231</v>
      </c>
      <c r="X31" s="153">
        <v>134</v>
      </c>
      <c r="Y31" s="153" t="s">
        <v>232</v>
      </c>
      <c r="Z31" s="153">
        <v>98</v>
      </c>
      <c r="AA31" s="153" t="s">
        <v>233</v>
      </c>
      <c r="AB31" s="153">
        <v>85</v>
      </c>
      <c r="AC31" s="153" t="s">
        <v>234</v>
      </c>
      <c r="AD31" s="153">
        <v>160</v>
      </c>
      <c r="AE31" s="153" t="s">
        <v>235</v>
      </c>
      <c r="AF31" s="153">
        <v>165</v>
      </c>
      <c r="AG31" s="153">
        <v>0</v>
      </c>
      <c r="AH31" s="153">
        <v>0</v>
      </c>
      <c r="AI31" s="153">
        <v>0</v>
      </c>
      <c r="AJ31" s="153">
        <v>0</v>
      </c>
      <c r="AK31" s="153">
        <v>0</v>
      </c>
      <c r="AL31" s="153">
        <v>0</v>
      </c>
      <c r="AM31" s="153">
        <v>0</v>
      </c>
      <c r="AN31" s="153">
        <v>0</v>
      </c>
      <c r="AO31" s="153">
        <v>0</v>
      </c>
      <c r="AP31" s="153">
        <v>0</v>
      </c>
      <c r="AQ31" s="153">
        <v>0</v>
      </c>
      <c r="AR31" s="153">
        <v>0</v>
      </c>
      <c r="AS31" s="153">
        <v>0</v>
      </c>
      <c r="AT31" s="153">
        <v>0</v>
      </c>
      <c r="AU31" s="153">
        <v>0</v>
      </c>
      <c r="AV31" s="153">
        <v>0</v>
      </c>
      <c r="AW31" s="153">
        <v>0</v>
      </c>
      <c r="AX31" s="153">
        <v>0</v>
      </c>
      <c r="AY31" s="153">
        <v>0</v>
      </c>
      <c r="AZ31" s="153">
        <v>0</v>
      </c>
      <c r="BA31" s="153">
        <v>0</v>
      </c>
      <c r="BB31" s="153">
        <v>0</v>
      </c>
      <c r="BC31" s="153">
        <v>0</v>
      </c>
      <c r="BD31" s="153">
        <v>0</v>
      </c>
      <c r="BE31" s="153">
        <v>0</v>
      </c>
      <c r="BF31" s="153">
        <v>0</v>
      </c>
      <c r="BG31" s="153">
        <v>0</v>
      </c>
      <c r="BH31" s="153">
        <v>0</v>
      </c>
      <c r="BI31" s="153">
        <v>0</v>
      </c>
      <c r="BJ31" s="153">
        <v>0</v>
      </c>
      <c r="BK31" s="153">
        <v>0</v>
      </c>
      <c r="BL31" s="153">
        <v>0</v>
      </c>
      <c r="BM31" s="153">
        <v>0</v>
      </c>
      <c r="BN31" s="153">
        <v>0</v>
      </c>
    </row>
    <row r="32" spans="2:66" ht="72">
      <c r="B32" s="222" t="s">
        <v>66</v>
      </c>
      <c r="C32" s="230">
        <v>5</v>
      </c>
      <c r="D32" s="229">
        <f t="shared" si="0"/>
        <v>262</v>
      </c>
      <c r="E32" s="153" t="s">
        <v>236</v>
      </c>
      <c r="F32" s="153">
        <v>80</v>
      </c>
      <c r="G32" s="153" t="s">
        <v>237</v>
      </c>
      <c r="H32" s="153">
        <v>67</v>
      </c>
      <c r="I32" s="153" t="s">
        <v>238</v>
      </c>
      <c r="J32" s="153">
        <v>30</v>
      </c>
      <c r="K32" s="153" t="s">
        <v>239</v>
      </c>
      <c r="L32" s="153">
        <v>50</v>
      </c>
      <c r="M32" s="153" t="s">
        <v>570</v>
      </c>
      <c r="N32" s="153">
        <v>35</v>
      </c>
      <c r="O32" s="153">
        <v>0</v>
      </c>
      <c r="P32" s="153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3">
        <v>0</v>
      </c>
      <c r="Y32" s="153">
        <v>0</v>
      </c>
      <c r="Z32" s="153">
        <v>0</v>
      </c>
      <c r="AA32" s="153">
        <v>0</v>
      </c>
      <c r="AB32" s="153">
        <v>0</v>
      </c>
      <c r="AC32" s="153">
        <v>0</v>
      </c>
      <c r="AD32" s="153">
        <v>0</v>
      </c>
      <c r="AE32" s="153">
        <v>0</v>
      </c>
      <c r="AF32" s="153">
        <v>0</v>
      </c>
      <c r="AG32" s="153">
        <v>0</v>
      </c>
      <c r="AH32" s="153">
        <v>0</v>
      </c>
      <c r="AI32" s="153">
        <v>0</v>
      </c>
      <c r="AJ32" s="153">
        <v>0</v>
      </c>
      <c r="AK32" s="153">
        <v>0</v>
      </c>
      <c r="AL32" s="153">
        <v>0</v>
      </c>
      <c r="AM32" s="153">
        <v>0</v>
      </c>
      <c r="AN32" s="153">
        <v>0</v>
      </c>
      <c r="AO32" s="153">
        <v>0</v>
      </c>
      <c r="AP32" s="153">
        <v>0</v>
      </c>
      <c r="AQ32" s="153">
        <v>0</v>
      </c>
      <c r="AR32" s="153">
        <v>0</v>
      </c>
      <c r="AS32" s="153">
        <v>0</v>
      </c>
      <c r="AT32" s="153">
        <v>0</v>
      </c>
      <c r="AU32" s="153">
        <v>0</v>
      </c>
      <c r="AV32" s="153">
        <v>0</v>
      </c>
      <c r="AW32" s="153">
        <v>0</v>
      </c>
      <c r="AX32" s="153">
        <v>0</v>
      </c>
      <c r="AY32" s="153">
        <v>0</v>
      </c>
      <c r="AZ32" s="153">
        <v>0</v>
      </c>
      <c r="BA32" s="153">
        <v>0</v>
      </c>
      <c r="BB32" s="153">
        <v>0</v>
      </c>
      <c r="BC32" s="153">
        <v>0</v>
      </c>
      <c r="BD32" s="153">
        <v>0</v>
      </c>
      <c r="BE32" s="153">
        <v>0</v>
      </c>
      <c r="BF32" s="153">
        <v>0</v>
      </c>
      <c r="BG32" s="153">
        <v>0</v>
      </c>
      <c r="BH32" s="153">
        <v>0</v>
      </c>
      <c r="BI32" s="153">
        <v>0</v>
      </c>
      <c r="BJ32" s="153">
        <v>0</v>
      </c>
      <c r="BK32" s="153">
        <v>0</v>
      </c>
      <c r="BL32" s="153">
        <v>0</v>
      </c>
      <c r="BM32" s="153">
        <v>0</v>
      </c>
      <c r="BN32" s="153">
        <v>0</v>
      </c>
    </row>
    <row r="33" spans="2:66" ht="72">
      <c r="B33" s="222" t="s">
        <v>65</v>
      </c>
      <c r="C33" s="230">
        <v>15</v>
      </c>
      <c r="D33" s="229">
        <f t="shared" si="0"/>
        <v>1013</v>
      </c>
      <c r="E33" s="153" t="s">
        <v>241</v>
      </c>
      <c r="F33" s="153">
        <v>45</v>
      </c>
      <c r="G33" s="153" t="s">
        <v>571</v>
      </c>
      <c r="H33" s="153">
        <v>54</v>
      </c>
      <c r="I33" s="153" t="s">
        <v>572</v>
      </c>
      <c r="J33" s="153">
        <v>36</v>
      </c>
      <c r="K33" s="153" t="s">
        <v>244</v>
      </c>
      <c r="L33" s="153">
        <v>95</v>
      </c>
      <c r="M33" s="153" t="s">
        <v>573</v>
      </c>
      <c r="N33" s="153">
        <v>134</v>
      </c>
      <c r="O33" s="153" t="s">
        <v>246</v>
      </c>
      <c r="P33" s="153">
        <v>107</v>
      </c>
      <c r="Q33" s="153" t="s">
        <v>574</v>
      </c>
      <c r="R33" s="153">
        <v>64</v>
      </c>
      <c r="S33" s="153" t="s">
        <v>248</v>
      </c>
      <c r="T33" s="153">
        <v>51</v>
      </c>
      <c r="U33" s="153" t="s">
        <v>249</v>
      </c>
      <c r="V33" s="153">
        <v>154</v>
      </c>
      <c r="W33" s="153" t="s">
        <v>250</v>
      </c>
      <c r="X33" s="153">
        <v>35</v>
      </c>
      <c r="Y33" s="153" t="s">
        <v>251</v>
      </c>
      <c r="Z33" s="153">
        <v>30</v>
      </c>
      <c r="AA33" s="153" t="s">
        <v>575</v>
      </c>
      <c r="AB33" s="153">
        <v>38</v>
      </c>
      <c r="AC33" s="153" t="s">
        <v>576</v>
      </c>
      <c r="AD33" s="153">
        <v>35</v>
      </c>
      <c r="AE33" s="153" t="s">
        <v>577</v>
      </c>
      <c r="AF33" s="153">
        <v>35</v>
      </c>
      <c r="AG33" s="153" t="s">
        <v>548</v>
      </c>
      <c r="AH33" s="153">
        <v>100</v>
      </c>
      <c r="AI33" s="153">
        <v>0</v>
      </c>
      <c r="AJ33" s="153">
        <v>0</v>
      </c>
      <c r="AK33" s="153">
        <v>0</v>
      </c>
      <c r="AL33" s="153">
        <v>0</v>
      </c>
      <c r="AM33" s="153">
        <v>0</v>
      </c>
      <c r="AN33" s="153">
        <v>0</v>
      </c>
      <c r="AO33" s="153">
        <v>0</v>
      </c>
      <c r="AP33" s="153">
        <v>0</v>
      </c>
      <c r="AQ33" s="153">
        <v>0</v>
      </c>
      <c r="AR33" s="153">
        <v>0</v>
      </c>
      <c r="AS33" s="153">
        <v>0</v>
      </c>
      <c r="AT33" s="153">
        <v>0</v>
      </c>
      <c r="AU33" s="153">
        <v>0</v>
      </c>
      <c r="AV33" s="153">
        <v>0</v>
      </c>
      <c r="AW33" s="153">
        <v>0</v>
      </c>
      <c r="AX33" s="153">
        <v>0</v>
      </c>
      <c r="AY33" s="153">
        <v>0</v>
      </c>
      <c r="AZ33" s="153">
        <v>0</v>
      </c>
      <c r="BA33" s="153">
        <v>0</v>
      </c>
      <c r="BB33" s="153">
        <v>0</v>
      </c>
      <c r="BC33" s="153">
        <v>0</v>
      </c>
      <c r="BD33" s="153">
        <v>0</v>
      </c>
      <c r="BE33" s="153">
        <v>0</v>
      </c>
      <c r="BF33" s="153">
        <v>0</v>
      </c>
      <c r="BG33" s="153">
        <v>0</v>
      </c>
      <c r="BH33" s="153">
        <v>0</v>
      </c>
      <c r="BI33" s="153">
        <v>0</v>
      </c>
      <c r="BJ33" s="153">
        <v>0</v>
      </c>
      <c r="BK33" s="153">
        <v>0</v>
      </c>
      <c r="BL33" s="153">
        <v>0</v>
      </c>
      <c r="BM33" s="153">
        <v>0</v>
      </c>
      <c r="BN33" s="153">
        <v>0</v>
      </c>
    </row>
    <row r="34" spans="2:66" ht="72">
      <c r="B34" s="222" t="s">
        <v>64</v>
      </c>
      <c r="C34" s="230">
        <v>1</v>
      </c>
      <c r="D34" s="229">
        <f t="shared" si="0"/>
        <v>231</v>
      </c>
      <c r="E34" s="153" t="s">
        <v>578</v>
      </c>
      <c r="F34" s="153">
        <v>231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  <c r="O34" s="153">
        <v>0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3">
        <v>0</v>
      </c>
      <c r="W34" s="153">
        <v>0</v>
      </c>
      <c r="X34" s="153">
        <v>0</v>
      </c>
      <c r="Y34" s="153">
        <v>0</v>
      </c>
      <c r="Z34" s="153">
        <v>0</v>
      </c>
      <c r="AA34" s="153">
        <v>0</v>
      </c>
      <c r="AB34" s="153">
        <v>0</v>
      </c>
      <c r="AC34" s="153">
        <v>0</v>
      </c>
      <c r="AD34" s="153">
        <v>0</v>
      </c>
      <c r="AE34" s="153">
        <v>0</v>
      </c>
      <c r="AF34" s="153">
        <v>0</v>
      </c>
      <c r="AG34" s="153">
        <v>0</v>
      </c>
      <c r="AH34" s="153">
        <v>0</v>
      </c>
      <c r="AI34" s="153">
        <v>0</v>
      </c>
      <c r="AJ34" s="153">
        <v>0</v>
      </c>
      <c r="AK34" s="153">
        <v>0</v>
      </c>
      <c r="AL34" s="153">
        <v>0</v>
      </c>
      <c r="AM34" s="153">
        <v>0</v>
      </c>
      <c r="AN34" s="153">
        <v>0</v>
      </c>
      <c r="AO34" s="153">
        <v>0</v>
      </c>
      <c r="AP34" s="153">
        <v>0</v>
      </c>
      <c r="AQ34" s="153">
        <v>0</v>
      </c>
      <c r="AR34" s="153">
        <v>0</v>
      </c>
      <c r="AS34" s="153">
        <v>0</v>
      </c>
      <c r="AT34" s="153">
        <v>0</v>
      </c>
      <c r="AU34" s="153">
        <v>0</v>
      </c>
      <c r="AV34" s="153">
        <v>0</v>
      </c>
      <c r="AW34" s="153">
        <v>0</v>
      </c>
      <c r="AX34" s="153">
        <v>0</v>
      </c>
      <c r="AY34" s="153">
        <v>0</v>
      </c>
      <c r="AZ34" s="153">
        <v>0</v>
      </c>
      <c r="BA34" s="153">
        <v>0</v>
      </c>
      <c r="BB34" s="153">
        <v>0</v>
      </c>
      <c r="BC34" s="153">
        <v>0</v>
      </c>
      <c r="BD34" s="153">
        <v>0</v>
      </c>
      <c r="BE34" s="153">
        <v>0</v>
      </c>
      <c r="BF34" s="153">
        <v>0</v>
      </c>
      <c r="BG34" s="153">
        <v>0</v>
      </c>
      <c r="BH34" s="153">
        <v>0</v>
      </c>
      <c r="BI34" s="153">
        <v>0</v>
      </c>
      <c r="BJ34" s="153">
        <v>0</v>
      </c>
      <c r="BK34" s="153">
        <v>0</v>
      </c>
      <c r="BL34" s="153">
        <v>0</v>
      </c>
      <c r="BM34" s="153">
        <v>0</v>
      </c>
      <c r="BN34" s="153">
        <v>0</v>
      </c>
    </row>
    <row r="35" spans="2:66" s="233" customFormat="1">
      <c r="B35" s="223" t="s">
        <v>63</v>
      </c>
      <c r="C35" s="231">
        <v>2</v>
      </c>
      <c r="D35" s="232">
        <f t="shared" si="0"/>
        <v>420</v>
      </c>
      <c r="E35" s="160" t="s">
        <v>255</v>
      </c>
      <c r="F35" s="161">
        <v>300</v>
      </c>
      <c r="G35" s="160" t="s">
        <v>256</v>
      </c>
      <c r="H35" s="161">
        <v>120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</row>
    <row r="36" spans="2:66" ht="144">
      <c r="B36" s="222" t="s">
        <v>62</v>
      </c>
      <c r="C36" s="230">
        <v>11</v>
      </c>
      <c r="D36" s="229">
        <f t="shared" si="0"/>
        <v>904</v>
      </c>
      <c r="E36" s="153" t="s">
        <v>257</v>
      </c>
      <c r="F36" s="153">
        <v>139</v>
      </c>
      <c r="G36" s="153" t="s">
        <v>579</v>
      </c>
      <c r="H36" s="153">
        <v>39</v>
      </c>
      <c r="I36" s="153" t="s">
        <v>259</v>
      </c>
      <c r="J36" s="153">
        <v>105</v>
      </c>
      <c r="K36" s="153" t="s">
        <v>260</v>
      </c>
      <c r="L36" s="153">
        <v>76</v>
      </c>
      <c r="M36" s="153" t="s">
        <v>580</v>
      </c>
      <c r="N36" s="153">
        <v>60</v>
      </c>
      <c r="O36" s="153" t="s">
        <v>262</v>
      </c>
      <c r="P36" s="153">
        <v>35</v>
      </c>
      <c r="Q36" s="153" t="s">
        <v>263</v>
      </c>
      <c r="R36" s="153">
        <v>57</v>
      </c>
      <c r="S36" s="153" t="s">
        <v>581</v>
      </c>
      <c r="T36" s="153">
        <v>41</v>
      </c>
      <c r="U36" s="153" t="s">
        <v>265</v>
      </c>
      <c r="V36" s="153">
        <v>34</v>
      </c>
      <c r="W36" s="153" t="s">
        <v>266</v>
      </c>
      <c r="X36" s="153">
        <v>50</v>
      </c>
      <c r="Y36" s="153" t="s">
        <v>267</v>
      </c>
      <c r="Z36" s="153">
        <v>268</v>
      </c>
      <c r="AA36" s="153">
        <v>0</v>
      </c>
      <c r="AB36" s="153">
        <v>0</v>
      </c>
      <c r="AC36" s="153">
        <v>0</v>
      </c>
      <c r="AD36" s="153">
        <v>0</v>
      </c>
      <c r="AE36" s="153">
        <v>0</v>
      </c>
      <c r="AF36" s="153">
        <v>0</v>
      </c>
      <c r="AG36" s="153">
        <v>0</v>
      </c>
      <c r="AH36" s="153">
        <v>0</v>
      </c>
      <c r="AI36" s="153">
        <v>0</v>
      </c>
      <c r="AJ36" s="153">
        <v>0</v>
      </c>
      <c r="AK36" s="153">
        <v>0</v>
      </c>
      <c r="AL36" s="153">
        <v>0</v>
      </c>
      <c r="AM36" s="153">
        <v>0</v>
      </c>
      <c r="AN36" s="153">
        <v>0</v>
      </c>
      <c r="AO36" s="153">
        <v>0</v>
      </c>
      <c r="AP36" s="153">
        <v>0</v>
      </c>
      <c r="AQ36" s="153">
        <v>0</v>
      </c>
      <c r="AR36" s="153">
        <v>0</v>
      </c>
      <c r="AS36" s="153">
        <v>0</v>
      </c>
      <c r="AT36" s="153">
        <v>0</v>
      </c>
      <c r="AU36" s="153">
        <v>0</v>
      </c>
      <c r="AV36" s="153">
        <v>0</v>
      </c>
      <c r="AW36" s="153">
        <v>0</v>
      </c>
      <c r="AX36" s="153">
        <v>0</v>
      </c>
      <c r="AY36" s="153">
        <v>0</v>
      </c>
      <c r="AZ36" s="153">
        <v>0</v>
      </c>
      <c r="BA36" s="153">
        <v>0</v>
      </c>
      <c r="BB36" s="153">
        <v>0</v>
      </c>
      <c r="BC36" s="153">
        <v>0</v>
      </c>
      <c r="BD36" s="153">
        <v>0</v>
      </c>
      <c r="BE36" s="153">
        <v>0</v>
      </c>
      <c r="BF36" s="153">
        <v>0</v>
      </c>
      <c r="BG36" s="153">
        <v>0</v>
      </c>
      <c r="BH36" s="153">
        <v>0</v>
      </c>
      <c r="BI36" s="153">
        <v>0</v>
      </c>
      <c r="BJ36" s="153">
        <v>0</v>
      </c>
      <c r="BK36" s="153">
        <v>0</v>
      </c>
      <c r="BL36" s="153">
        <v>0</v>
      </c>
      <c r="BM36" s="153">
        <v>0</v>
      </c>
      <c r="BN36" s="153">
        <v>0</v>
      </c>
    </row>
    <row r="37" spans="2:66" ht="120">
      <c r="B37" s="222" t="s">
        <v>61</v>
      </c>
      <c r="C37" s="230">
        <v>6</v>
      </c>
      <c r="D37" s="229">
        <f t="shared" si="0"/>
        <v>983</v>
      </c>
      <c r="E37" s="153" t="s">
        <v>268</v>
      </c>
      <c r="F37" s="153">
        <v>466</v>
      </c>
      <c r="G37" s="153" t="s">
        <v>582</v>
      </c>
      <c r="H37" s="153">
        <v>310</v>
      </c>
      <c r="I37" s="153" t="s">
        <v>270</v>
      </c>
      <c r="J37" s="153">
        <v>80</v>
      </c>
      <c r="K37" s="153" t="s">
        <v>583</v>
      </c>
      <c r="L37" s="153">
        <v>50</v>
      </c>
      <c r="M37" s="153" t="s">
        <v>272</v>
      </c>
      <c r="N37" s="153">
        <v>57</v>
      </c>
      <c r="O37" s="153" t="s">
        <v>274</v>
      </c>
      <c r="P37" s="153">
        <v>20</v>
      </c>
      <c r="Q37" s="153">
        <v>0</v>
      </c>
      <c r="R37" s="153">
        <v>0</v>
      </c>
      <c r="S37" s="153">
        <v>0</v>
      </c>
      <c r="T37" s="153">
        <v>0</v>
      </c>
      <c r="U37" s="153">
        <v>0</v>
      </c>
      <c r="V37" s="153">
        <v>0</v>
      </c>
      <c r="W37" s="153">
        <v>0</v>
      </c>
      <c r="X37" s="153">
        <v>0</v>
      </c>
      <c r="Y37" s="153">
        <v>0</v>
      </c>
      <c r="Z37" s="153">
        <v>0</v>
      </c>
      <c r="AA37" s="153">
        <v>0</v>
      </c>
      <c r="AB37" s="153">
        <v>0</v>
      </c>
      <c r="AC37" s="153">
        <v>0</v>
      </c>
      <c r="AD37" s="153">
        <v>0</v>
      </c>
      <c r="AE37" s="153">
        <v>0</v>
      </c>
      <c r="AF37" s="153">
        <v>0</v>
      </c>
      <c r="AG37" s="153">
        <v>0</v>
      </c>
      <c r="AH37" s="153">
        <v>0</v>
      </c>
      <c r="AI37" s="153">
        <v>0</v>
      </c>
      <c r="AJ37" s="153">
        <v>0</v>
      </c>
      <c r="AK37" s="153">
        <v>0</v>
      </c>
      <c r="AL37" s="153">
        <v>0</v>
      </c>
      <c r="AM37" s="153">
        <v>0</v>
      </c>
      <c r="AN37" s="153">
        <v>0</v>
      </c>
      <c r="AO37" s="153">
        <v>0</v>
      </c>
      <c r="AP37" s="153">
        <v>0</v>
      </c>
      <c r="AQ37" s="153">
        <v>0</v>
      </c>
      <c r="AR37" s="153">
        <v>0</v>
      </c>
      <c r="AS37" s="153">
        <v>0</v>
      </c>
      <c r="AT37" s="153">
        <v>0</v>
      </c>
      <c r="AU37" s="153">
        <v>0</v>
      </c>
      <c r="AV37" s="153">
        <v>0</v>
      </c>
      <c r="AW37" s="153">
        <v>0</v>
      </c>
      <c r="AX37" s="153">
        <v>0</v>
      </c>
      <c r="AY37" s="153">
        <v>0</v>
      </c>
      <c r="AZ37" s="153">
        <v>0</v>
      </c>
      <c r="BA37" s="153">
        <v>0</v>
      </c>
      <c r="BB37" s="153">
        <v>0</v>
      </c>
      <c r="BC37" s="153">
        <v>0</v>
      </c>
      <c r="BD37" s="153">
        <v>0</v>
      </c>
      <c r="BE37" s="153">
        <v>0</v>
      </c>
      <c r="BF37" s="153">
        <v>0</v>
      </c>
      <c r="BG37" s="153">
        <v>0</v>
      </c>
      <c r="BH37" s="153">
        <v>0</v>
      </c>
      <c r="BI37" s="153">
        <v>0</v>
      </c>
      <c r="BJ37" s="153">
        <v>0</v>
      </c>
      <c r="BK37" s="153">
        <v>0</v>
      </c>
      <c r="BL37" s="153">
        <v>0</v>
      </c>
      <c r="BM37" s="153">
        <v>0</v>
      </c>
      <c r="BN37" s="153">
        <v>0</v>
      </c>
    </row>
    <row r="38" spans="2:66" ht="120">
      <c r="B38" s="222" t="s">
        <v>60</v>
      </c>
      <c r="C38" s="230">
        <v>5</v>
      </c>
      <c r="D38" s="229">
        <f t="shared" si="0"/>
        <v>1160</v>
      </c>
      <c r="E38" s="153" t="s">
        <v>275</v>
      </c>
      <c r="F38" s="153">
        <v>221</v>
      </c>
      <c r="G38" s="153" t="s">
        <v>276</v>
      </c>
      <c r="H38" s="153">
        <v>70</v>
      </c>
      <c r="I38" s="153" t="s">
        <v>277</v>
      </c>
      <c r="J38" s="153">
        <v>151</v>
      </c>
      <c r="K38" s="153" t="s">
        <v>278</v>
      </c>
      <c r="L38" s="153">
        <v>50</v>
      </c>
      <c r="M38" s="153" t="s">
        <v>279</v>
      </c>
      <c r="N38" s="153">
        <v>668</v>
      </c>
      <c r="O38" s="153">
        <v>0</v>
      </c>
      <c r="P38" s="153">
        <v>0</v>
      </c>
      <c r="Q38" s="153">
        <v>0</v>
      </c>
      <c r="R38" s="153">
        <v>0</v>
      </c>
      <c r="S38" s="153">
        <v>0</v>
      </c>
      <c r="T38" s="153">
        <v>0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0</v>
      </c>
      <c r="AA38" s="153">
        <v>0</v>
      </c>
      <c r="AB38" s="153">
        <v>0</v>
      </c>
      <c r="AC38" s="153">
        <v>0</v>
      </c>
      <c r="AD38" s="153">
        <v>0</v>
      </c>
      <c r="AE38" s="153">
        <v>0</v>
      </c>
      <c r="AF38" s="153">
        <v>0</v>
      </c>
      <c r="AG38" s="153">
        <v>0</v>
      </c>
      <c r="AH38" s="153">
        <v>0</v>
      </c>
      <c r="AI38" s="153">
        <v>0</v>
      </c>
      <c r="AJ38" s="153">
        <v>0</v>
      </c>
      <c r="AK38" s="153">
        <v>0</v>
      </c>
      <c r="AL38" s="153">
        <v>0</v>
      </c>
      <c r="AM38" s="153">
        <v>0</v>
      </c>
      <c r="AN38" s="153">
        <v>0</v>
      </c>
      <c r="AO38" s="153">
        <v>0</v>
      </c>
      <c r="AP38" s="153">
        <v>0</v>
      </c>
      <c r="AQ38" s="153">
        <v>0</v>
      </c>
      <c r="AR38" s="153">
        <v>0</v>
      </c>
      <c r="AS38" s="153">
        <v>0</v>
      </c>
      <c r="AT38" s="153">
        <v>0</v>
      </c>
      <c r="AU38" s="153">
        <v>0</v>
      </c>
      <c r="AV38" s="153">
        <v>0</v>
      </c>
      <c r="AW38" s="153">
        <v>0</v>
      </c>
      <c r="AX38" s="153">
        <v>0</v>
      </c>
      <c r="AY38" s="153">
        <v>0</v>
      </c>
      <c r="AZ38" s="153">
        <v>0</v>
      </c>
      <c r="BA38" s="153">
        <v>0</v>
      </c>
      <c r="BB38" s="153">
        <v>0</v>
      </c>
      <c r="BC38" s="153">
        <v>0</v>
      </c>
      <c r="BD38" s="153">
        <v>0</v>
      </c>
      <c r="BE38" s="153">
        <v>0</v>
      </c>
      <c r="BF38" s="153">
        <v>0</v>
      </c>
      <c r="BG38" s="153">
        <v>0</v>
      </c>
      <c r="BH38" s="153">
        <v>0</v>
      </c>
      <c r="BI38" s="153">
        <v>0</v>
      </c>
      <c r="BJ38" s="153">
        <v>0</v>
      </c>
      <c r="BK38" s="153">
        <v>0</v>
      </c>
      <c r="BL38" s="153">
        <v>0</v>
      </c>
      <c r="BM38" s="153">
        <v>0</v>
      </c>
      <c r="BN38" s="153">
        <v>0</v>
      </c>
    </row>
    <row r="39" spans="2:66" ht="120">
      <c r="B39" s="222" t="s">
        <v>59</v>
      </c>
      <c r="C39" s="230">
        <v>4</v>
      </c>
      <c r="D39" s="229">
        <f t="shared" si="0"/>
        <v>146</v>
      </c>
      <c r="E39" s="153" t="s">
        <v>280</v>
      </c>
      <c r="F39" s="153">
        <v>55</v>
      </c>
      <c r="G39" s="153" t="s">
        <v>584</v>
      </c>
      <c r="H39" s="153">
        <v>28</v>
      </c>
      <c r="I39" s="153" t="s">
        <v>282</v>
      </c>
      <c r="J39" s="153">
        <v>30</v>
      </c>
      <c r="K39" s="153" t="s">
        <v>283</v>
      </c>
      <c r="L39" s="153">
        <v>33</v>
      </c>
      <c r="M39" s="153">
        <v>0</v>
      </c>
      <c r="N39" s="153">
        <v>0</v>
      </c>
      <c r="O39" s="153">
        <v>0</v>
      </c>
      <c r="P39" s="153">
        <v>0</v>
      </c>
      <c r="Q39" s="153">
        <v>0</v>
      </c>
      <c r="R39" s="153">
        <v>0</v>
      </c>
      <c r="S39" s="153">
        <v>0</v>
      </c>
      <c r="T39" s="153">
        <v>0</v>
      </c>
      <c r="U39" s="153">
        <v>0</v>
      </c>
      <c r="V39" s="153">
        <v>0</v>
      </c>
      <c r="W39" s="153">
        <v>0</v>
      </c>
      <c r="X39" s="153">
        <v>0</v>
      </c>
      <c r="Y39" s="153">
        <v>0</v>
      </c>
      <c r="Z39" s="153">
        <v>0</v>
      </c>
      <c r="AA39" s="153">
        <v>0</v>
      </c>
      <c r="AB39" s="153">
        <v>0</v>
      </c>
      <c r="AC39" s="153">
        <v>0</v>
      </c>
      <c r="AD39" s="153">
        <v>0</v>
      </c>
      <c r="AE39" s="153">
        <v>0</v>
      </c>
      <c r="AF39" s="153">
        <v>0</v>
      </c>
      <c r="AG39" s="153">
        <v>0</v>
      </c>
      <c r="AH39" s="153">
        <v>0</v>
      </c>
      <c r="AI39" s="153">
        <v>0</v>
      </c>
      <c r="AJ39" s="153">
        <v>0</v>
      </c>
      <c r="AK39" s="153">
        <v>0</v>
      </c>
      <c r="AL39" s="153">
        <v>0</v>
      </c>
      <c r="AM39" s="153">
        <v>0</v>
      </c>
      <c r="AN39" s="153">
        <v>0</v>
      </c>
      <c r="AO39" s="153">
        <v>0</v>
      </c>
      <c r="AP39" s="153">
        <v>0</v>
      </c>
      <c r="AQ39" s="153">
        <v>0</v>
      </c>
      <c r="AR39" s="153">
        <v>0</v>
      </c>
      <c r="AS39" s="153">
        <v>0</v>
      </c>
      <c r="AT39" s="153">
        <v>0</v>
      </c>
      <c r="AU39" s="153">
        <v>0</v>
      </c>
      <c r="AV39" s="153">
        <v>0</v>
      </c>
      <c r="AW39" s="153">
        <v>0</v>
      </c>
      <c r="AX39" s="153">
        <v>0</v>
      </c>
      <c r="AY39" s="153">
        <v>0</v>
      </c>
      <c r="AZ39" s="153">
        <v>0</v>
      </c>
      <c r="BA39" s="153">
        <v>0</v>
      </c>
      <c r="BB39" s="153">
        <v>0</v>
      </c>
      <c r="BC39" s="153">
        <v>0</v>
      </c>
      <c r="BD39" s="153">
        <v>0</v>
      </c>
      <c r="BE39" s="153">
        <v>0</v>
      </c>
      <c r="BF39" s="153">
        <v>0</v>
      </c>
      <c r="BG39" s="153">
        <v>0</v>
      </c>
      <c r="BH39" s="153">
        <v>0</v>
      </c>
      <c r="BI39" s="153">
        <v>0</v>
      </c>
      <c r="BJ39" s="153">
        <v>0</v>
      </c>
      <c r="BK39" s="153">
        <v>0</v>
      </c>
      <c r="BL39" s="153">
        <v>0</v>
      </c>
      <c r="BM39" s="153">
        <v>0</v>
      </c>
      <c r="BN39" s="153">
        <v>0</v>
      </c>
    </row>
    <row r="40" spans="2:66" ht="144">
      <c r="B40" s="222" t="s">
        <v>58</v>
      </c>
      <c r="C40" s="230">
        <v>9</v>
      </c>
      <c r="D40" s="229">
        <f t="shared" si="0"/>
        <v>1925</v>
      </c>
      <c r="E40" s="153" t="s">
        <v>284</v>
      </c>
      <c r="F40" s="153">
        <v>851</v>
      </c>
      <c r="G40" s="153" t="s">
        <v>286</v>
      </c>
      <c r="H40" s="153">
        <v>400</v>
      </c>
      <c r="I40" s="153" t="s">
        <v>285</v>
      </c>
      <c r="J40" s="153">
        <v>115</v>
      </c>
      <c r="K40" s="153" t="s">
        <v>287</v>
      </c>
      <c r="L40" s="153">
        <v>60</v>
      </c>
      <c r="M40" s="153" t="s">
        <v>585</v>
      </c>
      <c r="N40" s="153">
        <v>50</v>
      </c>
      <c r="O40" s="153" t="s">
        <v>289</v>
      </c>
      <c r="P40" s="153">
        <v>120</v>
      </c>
      <c r="Q40" s="153" t="s">
        <v>290</v>
      </c>
      <c r="R40" s="153">
        <v>30</v>
      </c>
      <c r="S40" s="153" t="s">
        <v>586</v>
      </c>
      <c r="T40" s="153">
        <v>20</v>
      </c>
      <c r="U40" s="153" t="s">
        <v>292</v>
      </c>
      <c r="V40" s="153">
        <v>279</v>
      </c>
      <c r="W40" s="153">
        <v>0</v>
      </c>
      <c r="X40" s="153">
        <v>0</v>
      </c>
      <c r="Y40" s="153">
        <v>0</v>
      </c>
      <c r="Z40" s="153">
        <v>0</v>
      </c>
      <c r="AA40" s="153">
        <v>0</v>
      </c>
      <c r="AB40" s="153">
        <v>0</v>
      </c>
      <c r="AC40" s="153">
        <v>0</v>
      </c>
      <c r="AD40" s="153">
        <v>0</v>
      </c>
      <c r="AE40" s="153">
        <v>0</v>
      </c>
      <c r="AF40" s="153">
        <v>0</v>
      </c>
      <c r="AG40" s="153">
        <v>0</v>
      </c>
      <c r="AH40" s="153">
        <v>0</v>
      </c>
      <c r="AI40" s="153">
        <v>0</v>
      </c>
      <c r="AJ40" s="153">
        <v>0</v>
      </c>
      <c r="AK40" s="153">
        <v>0</v>
      </c>
      <c r="AL40" s="153">
        <v>0</v>
      </c>
      <c r="AM40" s="153">
        <v>0</v>
      </c>
      <c r="AN40" s="153">
        <v>0</v>
      </c>
      <c r="AO40" s="153">
        <v>0</v>
      </c>
      <c r="AP40" s="153">
        <v>0</v>
      </c>
      <c r="AQ40" s="153">
        <v>0</v>
      </c>
      <c r="AR40" s="153">
        <v>0</v>
      </c>
      <c r="AS40" s="153">
        <v>0</v>
      </c>
      <c r="AT40" s="153">
        <v>0</v>
      </c>
      <c r="AU40" s="153">
        <v>0</v>
      </c>
      <c r="AV40" s="153">
        <v>0</v>
      </c>
      <c r="AW40" s="153">
        <v>0</v>
      </c>
      <c r="AX40" s="153">
        <v>0</v>
      </c>
      <c r="AY40" s="153">
        <v>0</v>
      </c>
      <c r="AZ40" s="153">
        <v>0</v>
      </c>
      <c r="BA40" s="153">
        <v>0</v>
      </c>
      <c r="BB40" s="153">
        <v>0</v>
      </c>
      <c r="BC40" s="153">
        <v>0</v>
      </c>
      <c r="BD40" s="153">
        <v>0</v>
      </c>
      <c r="BE40" s="153">
        <v>0</v>
      </c>
      <c r="BF40" s="153">
        <v>0</v>
      </c>
      <c r="BG40" s="153">
        <v>0</v>
      </c>
      <c r="BH40" s="153">
        <v>0</v>
      </c>
      <c r="BI40" s="153">
        <v>0</v>
      </c>
      <c r="BJ40" s="153">
        <v>0</v>
      </c>
      <c r="BK40" s="153">
        <v>0</v>
      </c>
      <c r="BL40" s="153">
        <v>0</v>
      </c>
      <c r="BM40" s="153">
        <v>0</v>
      </c>
      <c r="BN40" s="153">
        <v>0</v>
      </c>
    </row>
    <row r="41" spans="2:66" ht="96">
      <c r="B41" s="222" t="s">
        <v>57</v>
      </c>
      <c r="C41" s="230">
        <v>11</v>
      </c>
      <c r="D41" s="229">
        <f t="shared" si="0"/>
        <v>2223</v>
      </c>
      <c r="E41" s="153" t="s">
        <v>293</v>
      </c>
      <c r="F41" s="153">
        <v>50</v>
      </c>
      <c r="G41" s="153" t="s">
        <v>294</v>
      </c>
      <c r="H41" s="153">
        <v>80</v>
      </c>
      <c r="I41" s="153" t="s">
        <v>295</v>
      </c>
      <c r="J41" s="153">
        <v>25</v>
      </c>
      <c r="K41" s="153" t="s">
        <v>296</v>
      </c>
      <c r="L41" s="153">
        <v>50</v>
      </c>
      <c r="M41" s="153" t="s">
        <v>587</v>
      </c>
      <c r="N41" s="153">
        <v>80</v>
      </c>
      <c r="O41" s="153" t="s">
        <v>298</v>
      </c>
      <c r="P41" s="153">
        <v>20</v>
      </c>
      <c r="Q41" s="153" t="s">
        <v>299</v>
      </c>
      <c r="R41" s="153">
        <v>70</v>
      </c>
      <c r="S41" s="153" t="s">
        <v>300</v>
      </c>
      <c r="T41" s="153">
        <v>40</v>
      </c>
      <c r="U41" s="153" t="s">
        <v>301</v>
      </c>
      <c r="V41" s="153">
        <v>50</v>
      </c>
      <c r="W41" s="153" t="s">
        <v>302</v>
      </c>
      <c r="X41" s="153">
        <v>1718</v>
      </c>
      <c r="Y41" s="153" t="s">
        <v>303</v>
      </c>
      <c r="Z41" s="153">
        <v>40</v>
      </c>
      <c r="AA41" s="153">
        <v>0</v>
      </c>
      <c r="AB41" s="153">
        <v>0</v>
      </c>
      <c r="AC41" s="153">
        <v>0</v>
      </c>
      <c r="AD41" s="153">
        <v>0</v>
      </c>
      <c r="AE41" s="153">
        <v>0</v>
      </c>
      <c r="AF41" s="153">
        <v>0</v>
      </c>
      <c r="AG41" s="153">
        <v>0</v>
      </c>
      <c r="AH41" s="153">
        <v>0</v>
      </c>
      <c r="AI41" s="153">
        <v>0</v>
      </c>
      <c r="AJ41" s="153">
        <v>0</v>
      </c>
      <c r="AK41" s="153">
        <v>0</v>
      </c>
      <c r="AL41" s="153">
        <v>0</v>
      </c>
      <c r="AM41" s="153">
        <v>0</v>
      </c>
      <c r="AN41" s="153">
        <v>0</v>
      </c>
      <c r="AO41" s="153">
        <v>0</v>
      </c>
      <c r="AP41" s="153">
        <v>0</v>
      </c>
      <c r="AQ41" s="153">
        <v>0</v>
      </c>
      <c r="AR41" s="153">
        <v>0</v>
      </c>
      <c r="AS41" s="153">
        <v>0</v>
      </c>
      <c r="AT41" s="153">
        <v>0</v>
      </c>
      <c r="AU41" s="153">
        <v>0</v>
      </c>
      <c r="AV41" s="153">
        <v>0</v>
      </c>
      <c r="AW41" s="153">
        <v>0</v>
      </c>
      <c r="AX41" s="153">
        <v>0</v>
      </c>
      <c r="AY41" s="153">
        <v>0</v>
      </c>
      <c r="AZ41" s="153">
        <v>0</v>
      </c>
      <c r="BA41" s="153">
        <v>0</v>
      </c>
      <c r="BB41" s="153">
        <v>0</v>
      </c>
      <c r="BC41" s="153">
        <v>0</v>
      </c>
      <c r="BD41" s="153">
        <v>0</v>
      </c>
      <c r="BE41" s="153">
        <v>0</v>
      </c>
      <c r="BF41" s="153">
        <v>0</v>
      </c>
      <c r="BG41" s="153">
        <v>0</v>
      </c>
      <c r="BH41" s="153">
        <v>0</v>
      </c>
      <c r="BI41" s="153">
        <v>0</v>
      </c>
      <c r="BJ41" s="153">
        <v>0</v>
      </c>
      <c r="BK41" s="153">
        <v>0</v>
      </c>
      <c r="BL41" s="153">
        <v>0</v>
      </c>
      <c r="BM41" s="153">
        <v>0</v>
      </c>
      <c r="BN41" s="153">
        <v>0</v>
      </c>
    </row>
    <row r="42" spans="2:66" ht="120">
      <c r="B42" s="222" t="s">
        <v>56</v>
      </c>
      <c r="C42" s="230">
        <v>4</v>
      </c>
      <c r="D42" s="229">
        <f t="shared" si="0"/>
        <v>444</v>
      </c>
      <c r="E42" s="153" t="s">
        <v>304</v>
      </c>
      <c r="F42" s="153">
        <v>357</v>
      </c>
      <c r="G42" s="153" t="s">
        <v>588</v>
      </c>
      <c r="H42" s="153">
        <v>32</v>
      </c>
      <c r="I42" s="153" t="s">
        <v>306</v>
      </c>
      <c r="J42" s="153">
        <v>25</v>
      </c>
      <c r="K42" s="153" t="s">
        <v>307</v>
      </c>
      <c r="L42" s="153">
        <v>30</v>
      </c>
      <c r="M42" s="153">
        <v>0</v>
      </c>
      <c r="N42" s="153">
        <v>0</v>
      </c>
      <c r="O42" s="153">
        <v>0</v>
      </c>
      <c r="P42" s="153">
        <v>0</v>
      </c>
      <c r="Q42" s="153">
        <v>0</v>
      </c>
      <c r="R42" s="153">
        <v>0</v>
      </c>
      <c r="S42" s="153">
        <v>0</v>
      </c>
      <c r="T42" s="153">
        <v>0</v>
      </c>
      <c r="U42" s="153">
        <v>0</v>
      </c>
      <c r="V42" s="153">
        <v>0</v>
      </c>
      <c r="W42" s="153">
        <v>0</v>
      </c>
      <c r="X42" s="153">
        <v>0</v>
      </c>
      <c r="Y42" s="153">
        <v>0</v>
      </c>
      <c r="Z42" s="153">
        <v>0</v>
      </c>
      <c r="AA42" s="153">
        <v>0</v>
      </c>
      <c r="AB42" s="153">
        <v>0</v>
      </c>
      <c r="AC42" s="153">
        <v>0</v>
      </c>
      <c r="AD42" s="153">
        <v>0</v>
      </c>
      <c r="AE42" s="153">
        <v>0</v>
      </c>
      <c r="AF42" s="153">
        <v>0</v>
      </c>
      <c r="AG42" s="153">
        <v>0</v>
      </c>
      <c r="AH42" s="153">
        <v>0</v>
      </c>
      <c r="AI42" s="153">
        <v>0</v>
      </c>
      <c r="AJ42" s="153">
        <v>0</v>
      </c>
      <c r="AK42" s="153">
        <v>0</v>
      </c>
      <c r="AL42" s="153">
        <v>0</v>
      </c>
      <c r="AM42" s="153">
        <v>0</v>
      </c>
      <c r="AN42" s="153">
        <v>0</v>
      </c>
      <c r="AO42" s="153">
        <v>0</v>
      </c>
      <c r="AP42" s="153">
        <v>0</v>
      </c>
      <c r="AQ42" s="153">
        <v>0</v>
      </c>
      <c r="AR42" s="153">
        <v>0</v>
      </c>
      <c r="AS42" s="153">
        <v>0</v>
      </c>
      <c r="AT42" s="153">
        <v>0</v>
      </c>
      <c r="AU42" s="153">
        <v>0</v>
      </c>
      <c r="AV42" s="153">
        <v>0</v>
      </c>
      <c r="AW42" s="153">
        <v>0</v>
      </c>
      <c r="AX42" s="153">
        <v>0</v>
      </c>
      <c r="AY42" s="153">
        <v>0</v>
      </c>
      <c r="AZ42" s="153">
        <v>0</v>
      </c>
      <c r="BA42" s="153">
        <v>0</v>
      </c>
      <c r="BB42" s="153">
        <v>0</v>
      </c>
      <c r="BC42" s="153">
        <v>0</v>
      </c>
      <c r="BD42" s="153">
        <v>0</v>
      </c>
      <c r="BE42" s="153">
        <v>0</v>
      </c>
      <c r="BF42" s="153">
        <v>0</v>
      </c>
      <c r="BG42" s="153">
        <v>0</v>
      </c>
      <c r="BH42" s="153">
        <v>0</v>
      </c>
      <c r="BI42" s="153">
        <v>0</v>
      </c>
      <c r="BJ42" s="153">
        <v>0</v>
      </c>
      <c r="BK42" s="153">
        <v>0</v>
      </c>
      <c r="BL42" s="153">
        <v>0</v>
      </c>
      <c r="BM42" s="153">
        <v>0</v>
      </c>
      <c r="BN42" s="153">
        <v>0</v>
      </c>
    </row>
    <row r="43" spans="2:66" ht="96">
      <c r="B43" s="222" t="s">
        <v>55</v>
      </c>
      <c r="C43" s="230">
        <v>4</v>
      </c>
      <c r="D43" s="229">
        <f t="shared" si="0"/>
        <v>342</v>
      </c>
      <c r="E43" s="153" t="s">
        <v>589</v>
      </c>
      <c r="F43" s="153">
        <v>234</v>
      </c>
      <c r="G43" s="153" t="s">
        <v>310</v>
      </c>
      <c r="H43" s="153">
        <v>26</v>
      </c>
      <c r="I43" s="153" t="s">
        <v>309</v>
      </c>
      <c r="J43" s="153">
        <v>20</v>
      </c>
      <c r="K43" s="153" t="s">
        <v>590</v>
      </c>
      <c r="L43" s="153">
        <v>62</v>
      </c>
      <c r="M43" s="153">
        <v>0</v>
      </c>
      <c r="N43" s="153">
        <v>0</v>
      </c>
      <c r="O43" s="153">
        <v>0</v>
      </c>
      <c r="P43" s="153">
        <v>0</v>
      </c>
      <c r="Q43" s="153">
        <v>0</v>
      </c>
      <c r="R43" s="153">
        <v>0</v>
      </c>
      <c r="S43" s="153">
        <v>0</v>
      </c>
      <c r="T43" s="153">
        <v>0</v>
      </c>
      <c r="U43" s="153">
        <v>0</v>
      </c>
      <c r="V43" s="153">
        <v>0</v>
      </c>
      <c r="W43" s="153">
        <v>0</v>
      </c>
      <c r="X43" s="153">
        <v>0</v>
      </c>
      <c r="Y43" s="153">
        <v>0</v>
      </c>
      <c r="Z43" s="153">
        <v>0</v>
      </c>
      <c r="AA43" s="153">
        <v>0</v>
      </c>
      <c r="AB43" s="153">
        <v>0</v>
      </c>
      <c r="AC43" s="153">
        <v>0</v>
      </c>
      <c r="AD43" s="153">
        <v>0</v>
      </c>
      <c r="AE43" s="153">
        <v>0</v>
      </c>
      <c r="AF43" s="153">
        <v>0</v>
      </c>
      <c r="AG43" s="153">
        <v>0</v>
      </c>
      <c r="AH43" s="153">
        <v>0</v>
      </c>
      <c r="AI43" s="153">
        <v>0</v>
      </c>
      <c r="AJ43" s="153">
        <v>0</v>
      </c>
      <c r="AK43" s="153">
        <v>0</v>
      </c>
      <c r="AL43" s="153">
        <v>0</v>
      </c>
      <c r="AM43" s="153">
        <v>0</v>
      </c>
      <c r="AN43" s="153">
        <v>0</v>
      </c>
      <c r="AO43" s="153">
        <v>0</v>
      </c>
      <c r="AP43" s="153">
        <v>0</v>
      </c>
      <c r="AQ43" s="153">
        <v>0</v>
      </c>
      <c r="AR43" s="153">
        <v>0</v>
      </c>
      <c r="AS43" s="153">
        <v>0</v>
      </c>
      <c r="AT43" s="153">
        <v>0</v>
      </c>
      <c r="AU43" s="153">
        <v>0</v>
      </c>
      <c r="AV43" s="153">
        <v>0</v>
      </c>
      <c r="AW43" s="153">
        <v>0</v>
      </c>
      <c r="AX43" s="153">
        <v>0</v>
      </c>
      <c r="AY43" s="153">
        <v>0</v>
      </c>
      <c r="AZ43" s="153">
        <v>0</v>
      </c>
      <c r="BA43" s="153">
        <v>0</v>
      </c>
      <c r="BB43" s="153">
        <v>0</v>
      </c>
      <c r="BC43" s="153">
        <v>0</v>
      </c>
      <c r="BD43" s="153">
        <v>0</v>
      </c>
      <c r="BE43" s="153">
        <v>0</v>
      </c>
      <c r="BF43" s="153">
        <v>0</v>
      </c>
      <c r="BG43" s="153">
        <v>0</v>
      </c>
      <c r="BH43" s="153">
        <v>0</v>
      </c>
      <c r="BI43" s="153">
        <v>0</v>
      </c>
      <c r="BJ43" s="153">
        <v>0</v>
      </c>
      <c r="BK43" s="153">
        <v>0</v>
      </c>
      <c r="BL43" s="153">
        <v>0</v>
      </c>
      <c r="BM43" s="153">
        <v>0</v>
      </c>
      <c r="BN43" s="153">
        <v>0</v>
      </c>
    </row>
    <row r="44" spans="2:66" s="233" customFormat="1">
      <c r="B44" s="223" t="s">
        <v>54</v>
      </c>
      <c r="C44" s="231">
        <v>1</v>
      </c>
      <c r="D44" s="232">
        <f t="shared" si="0"/>
        <v>500</v>
      </c>
      <c r="E44" s="160" t="s">
        <v>314</v>
      </c>
      <c r="F44" s="161">
        <v>500</v>
      </c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</row>
    <row r="45" spans="2:66" ht="96">
      <c r="B45" s="222" t="s">
        <v>53</v>
      </c>
      <c r="C45" s="230">
        <v>7</v>
      </c>
      <c r="D45" s="229">
        <f t="shared" si="0"/>
        <v>963</v>
      </c>
      <c r="E45" s="153" t="s">
        <v>319</v>
      </c>
      <c r="F45" s="153">
        <v>20</v>
      </c>
      <c r="G45" s="153" t="s">
        <v>320</v>
      </c>
      <c r="H45" s="153">
        <v>80</v>
      </c>
      <c r="I45" s="153" t="s">
        <v>321</v>
      </c>
      <c r="J45" s="153">
        <v>25</v>
      </c>
      <c r="K45" s="153" t="s">
        <v>316</v>
      </c>
      <c r="L45" s="153">
        <v>320</v>
      </c>
      <c r="M45" s="153" t="s">
        <v>591</v>
      </c>
      <c r="N45" s="153">
        <v>80</v>
      </c>
      <c r="O45" s="153" t="s">
        <v>592</v>
      </c>
      <c r="P45" s="153">
        <v>358</v>
      </c>
      <c r="Q45" s="153" t="s">
        <v>318</v>
      </c>
      <c r="R45" s="153">
        <v>80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0</v>
      </c>
      <c r="Z45" s="153">
        <v>0</v>
      </c>
      <c r="AA45" s="153">
        <v>0</v>
      </c>
      <c r="AB45" s="153">
        <v>0</v>
      </c>
      <c r="AC45" s="153">
        <v>0</v>
      </c>
      <c r="AD45" s="153">
        <v>0</v>
      </c>
      <c r="AE45" s="153">
        <v>0</v>
      </c>
      <c r="AF45" s="153">
        <v>0</v>
      </c>
      <c r="AG45" s="153">
        <v>0</v>
      </c>
      <c r="AH45" s="153">
        <v>0</v>
      </c>
      <c r="AI45" s="153">
        <v>0</v>
      </c>
      <c r="AJ45" s="153">
        <v>0</v>
      </c>
      <c r="AK45" s="153">
        <v>0</v>
      </c>
      <c r="AL45" s="153">
        <v>0</v>
      </c>
      <c r="AM45" s="153">
        <v>0</v>
      </c>
      <c r="AN45" s="153">
        <v>0</v>
      </c>
      <c r="AO45" s="153">
        <v>0</v>
      </c>
      <c r="AP45" s="153">
        <v>0</v>
      </c>
      <c r="AQ45" s="153">
        <v>0</v>
      </c>
      <c r="AR45" s="153">
        <v>0</v>
      </c>
      <c r="AS45" s="153">
        <v>0</v>
      </c>
      <c r="AT45" s="153">
        <v>0</v>
      </c>
      <c r="AU45" s="153">
        <v>0</v>
      </c>
      <c r="AV45" s="153">
        <v>0</v>
      </c>
      <c r="AW45" s="153">
        <v>0</v>
      </c>
      <c r="AX45" s="153">
        <v>0</v>
      </c>
      <c r="AY45" s="153">
        <v>0</v>
      </c>
      <c r="AZ45" s="153">
        <v>0</v>
      </c>
      <c r="BA45" s="153">
        <v>0</v>
      </c>
      <c r="BB45" s="153">
        <v>0</v>
      </c>
      <c r="BC45" s="153">
        <v>0</v>
      </c>
      <c r="BD45" s="153">
        <v>0</v>
      </c>
      <c r="BE45" s="153">
        <v>0</v>
      </c>
      <c r="BF45" s="153">
        <v>0</v>
      </c>
      <c r="BG45" s="153">
        <v>0</v>
      </c>
      <c r="BH45" s="153">
        <v>0</v>
      </c>
      <c r="BI45" s="153">
        <v>0</v>
      </c>
      <c r="BJ45" s="153">
        <v>0</v>
      </c>
      <c r="BK45" s="153">
        <v>0</v>
      </c>
      <c r="BL45" s="153">
        <v>0</v>
      </c>
      <c r="BM45" s="153">
        <v>0</v>
      </c>
      <c r="BN45" s="153">
        <v>0</v>
      </c>
    </row>
    <row r="46" spans="2:66" ht="96">
      <c r="B46" s="222" t="s">
        <v>52</v>
      </c>
      <c r="C46" s="230">
        <v>8</v>
      </c>
      <c r="D46" s="229">
        <f t="shared" si="0"/>
        <v>320</v>
      </c>
      <c r="E46" s="153" t="s">
        <v>322</v>
      </c>
      <c r="F46" s="153">
        <v>40</v>
      </c>
      <c r="G46" s="153" t="s">
        <v>323</v>
      </c>
      <c r="H46" s="153">
        <v>45</v>
      </c>
      <c r="I46" s="153" t="s">
        <v>325</v>
      </c>
      <c r="J46" s="153">
        <v>60</v>
      </c>
      <c r="K46" s="153" t="s">
        <v>326</v>
      </c>
      <c r="L46" s="153">
        <v>50</v>
      </c>
      <c r="M46" s="153" t="s">
        <v>327</v>
      </c>
      <c r="N46" s="153">
        <v>20</v>
      </c>
      <c r="O46" s="153" t="s">
        <v>328</v>
      </c>
      <c r="P46" s="153">
        <v>25</v>
      </c>
      <c r="Q46" s="153" t="s">
        <v>329</v>
      </c>
      <c r="R46" s="153">
        <v>40</v>
      </c>
      <c r="S46" s="153" t="s">
        <v>330</v>
      </c>
      <c r="T46" s="153">
        <v>40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  <c r="AB46" s="153">
        <v>0</v>
      </c>
      <c r="AC46" s="153">
        <v>0</v>
      </c>
      <c r="AD46" s="153">
        <v>0</v>
      </c>
      <c r="AE46" s="153">
        <v>0</v>
      </c>
      <c r="AF46" s="153">
        <v>0</v>
      </c>
      <c r="AG46" s="153">
        <v>0</v>
      </c>
      <c r="AH46" s="153">
        <v>0</v>
      </c>
      <c r="AI46" s="153">
        <v>0</v>
      </c>
      <c r="AJ46" s="153">
        <v>0</v>
      </c>
      <c r="AK46" s="153">
        <v>0</v>
      </c>
      <c r="AL46" s="153">
        <v>0</v>
      </c>
      <c r="AM46" s="153">
        <v>0</v>
      </c>
      <c r="AN46" s="153">
        <v>0</v>
      </c>
      <c r="AO46" s="153">
        <v>0</v>
      </c>
      <c r="AP46" s="153">
        <v>0</v>
      </c>
      <c r="AQ46" s="153">
        <v>0</v>
      </c>
      <c r="AR46" s="153">
        <v>0</v>
      </c>
      <c r="AS46" s="153">
        <v>0</v>
      </c>
      <c r="AT46" s="153">
        <v>0</v>
      </c>
      <c r="AU46" s="153">
        <v>0</v>
      </c>
      <c r="AV46" s="153">
        <v>0</v>
      </c>
      <c r="AW46" s="153">
        <v>0</v>
      </c>
      <c r="AX46" s="153">
        <v>0</v>
      </c>
      <c r="AY46" s="153">
        <v>0</v>
      </c>
      <c r="AZ46" s="153">
        <v>0</v>
      </c>
      <c r="BA46" s="153">
        <v>0</v>
      </c>
      <c r="BB46" s="153">
        <v>0</v>
      </c>
      <c r="BC46" s="153">
        <v>0</v>
      </c>
      <c r="BD46" s="153">
        <v>0</v>
      </c>
      <c r="BE46" s="153">
        <v>0</v>
      </c>
      <c r="BF46" s="153">
        <v>0</v>
      </c>
      <c r="BG46" s="153">
        <v>0</v>
      </c>
      <c r="BH46" s="153">
        <v>0</v>
      </c>
      <c r="BI46" s="153">
        <v>0</v>
      </c>
      <c r="BJ46" s="153">
        <v>0</v>
      </c>
      <c r="BK46" s="153">
        <v>0</v>
      </c>
      <c r="BL46" s="153">
        <v>0</v>
      </c>
      <c r="BM46" s="153">
        <v>0</v>
      </c>
      <c r="BN46" s="153">
        <v>0</v>
      </c>
    </row>
    <row r="47" spans="2:66" ht="72">
      <c r="B47" s="222" t="s">
        <v>51</v>
      </c>
      <c r="C47" s="230">
        <v>1</v>
      </c>
      <c r="D47" s="229">
        <f t="shared" si="0"/>
        <v>60</v>
      </c>
      <c r="E47" s="153" t="s">
        <v>593</v>
      </c>
      <c r="F47" s="153">
        <v>60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  <c r="N47" s="153">
        <v>0</v>
      </c>
      <c r="O47" s="153">
        <v>0</v>
      </c>
      <c r="P47" s="153">
        <v>0</v>
      </c>
      <c r="Q47" s="153">
        <v>0</v>
      </c>
      <c r="R47" s="153">
        <v>0</v>
      </c>
      <c r="S47" s="153">
        <v>0</v>
      </c>
      <c r="T47" s="153">
        <v>0</v>
      </c>
      <c r="U47" s="153">
        <v>0</v>
      </c>
      <c r="V47" s="153">
        <v>0</v>
      </c>
      <c r="W47" s="153">
        <v>0</v>
      </c>
      <c r="X47" s="153">
        <v>0</v>
      </c>
      <c r="Y47" s="153">
        <v>0</v>
      </c>
      <c r="Z47" s="153">
        <v>0</v>
      </c>
      <c r="AA47" s="153">
        <v>0</v>
      </c>
      <c r="AB47" s="153">
        <v>0</v>
      </c>
      <c r="AC47" s="153">
        <v>0</v>
      </c>
      <c r="AD47" s="153">
        <v>0</v>
      </c>
      <c r="AE47" s="153">
        <v>0</v>
      </c>
      <c r="AF47" s="153">
        <v>0</v>
      </c>
      <c r="AG47" s="153">
        <v>0</v>
      </c>
      <c r="AH47" s="153">
        <v>0</v>
      </c>
      <c r="AI47" s="153">
        <v>0</v>
      </c>
      <c r="AJ47" s="153">
        <v>0</v>
      </c>
      <c r="AK47" s="153">
        <v>0</v>
      </c>
      <c r="AL47" s="153">
        <v>0</v>
      </c>
      <c r="AM47" s="153">
        <v>0</v>
      </c>
      <c r="AN47" s="153">
        <v>0</v>
      </c>
      <c r="AO47" s="153">
        <v>0</v>
      </c>
      <c r="AP47" s="153">
        <v>0</v>
      </c>
      <c r="AQ47" s="153">
        <v>0</v>
      </c>
      <c r="AR47" s="153">
        <v>0</v>
      </c>
      <c r="AS47" s="153">
        <v>0</v>
      </c>
      <c r="AT47" s="153">
        <v>0</v>
      </c>
      <c r="AU47" s="153">
        <v>0</v>
      </c>
      <c r="AV47" s="153">
        <v>0</v>
      </c>
      <c r="AW47" s="153">
        <v>0</v>
      </c>
      <c r="AX47" s="153">
        <v>0</v>
      </c>
      <c r="AY47" s="153">
        <v>0</v>
      </c>
      <c r="AZ47" s="153">
        <v>0</v>
      </c>
      <c r="BA47" s="153">
        <v>0</v>
      </c>
      <c r="BB47" s="153">
        <v>0</v>
      </c>
      <c r="BC47" s="153">
        <v>0</v>
      </c>
      <c r="BD47" s="153">
        <v>0</v>
      </c>
      <c r="BE47" s="153">
        <v>0</v>
      </c>
      <c r="BF47" s="153">
        <v>0</v>
      </c>
      <c r="BG47" s="153">
        <v>0</v>
      </c>
      <c r="BH47" s="153">
        <v>0</v>
      </c>
      <c r="BI47" s="153">
        <v>0</v>
      </c>
      <c r="BJ47" s="153">
        <v>0</v>
      </c>
      <c r="BK47" s="153">
        <v>0</v>
      </c>
      <c r="BL47" s="153">
        <v>0</v>
      </c>
      <c r="BM47" s="153">
        <v>0</v>
      </c>
      <c r="BN47" s="153">
        <v>0</v>
      </c>
    </row>
    <row r="48" spans="2:66" ht="72">
      <c r="B48" s="222" t="s">
        <v>50</v>
      </c>
      <c r="C48" s="230">
        <v>3</v>
      </c>
      <c r="D48" s="229">
        <f t="shared" si="0"/>
        <v>90</v>
      </c>
      <c r="E48" s="153" t="s">
        <v>594</v>
      </c>
      <c r="F48" s="153">
        <v>50</v>
      </c>
      <c r="G48" s="153" t="s">
        <v>332</v>
      </c>
      <c r="H48" s="153">
        <v>35</v>
      </c>
      <c r="I48" s="153" t="s">
        <v>595</v>
      </c>
      <c r="J48" s="153">
        <v>5</v>
      </c>
      <c r="K48" s="153">
        <v>0</v>
      </c>
      <c r="L48" s="153">
        <v>0</v>
      </c>
      <c r="M48" s="153">
        <v>0</v>
      </c>
      <c r="N48" s="153">
        <v>0</v>
      </c>
      <c r="O48" s="153">
        <v>0</v>
      </c>
      <c r="P48" s="153">
        <v>0</v>
      </c>
      <c r="Q48" s="153">
        <v>0</v>
      </c>
      <c r="R48" s="153">
        <v>0</v>
      </c>
      <c r="S48" s="153">
        <v>0</v>
      </c>
      <c r="T48" s="153">
        <v>0</v>
      </c>
      <c r="U48" s="153">
        <v>0</v>
      </c>
      <c r="V48" s="153">
        <v>0</v>
      </c>
      <c r="W48" s="153">
        <v>0</v>
      </c>
      <c r="X48" s="153">
        <v>0</v>
      </c>
      <c r="Y48" s="153">
        <v>0</v>
      </c>
      <c r="Z48" s="153">
        <v>0</v>
      </c>
      <c r="AA48" s="153">
        <v>0</v>
      </c>
      <c r="AB48" s="153">
        <v>0</v>
      </c>
      <c r="AC48" s="153">
        <v>0</v>
      </c>
      <c r="AD48" s="153">
        <v>0</v>
      </c>
      <c r="AE48" s="153">
        <v>0</v>
      </c>
      <c r="AF48" s="153">
        <v>0</v>
      </c>
      <c r="AG48" s="153">
        <v>0</v>
      </c>
      <c r="AH48" s="153">
        <v>0</v>
      </c>
      <c r="AI48" s="153">
        <v>0</v>
      </c>
      <c r="AJ48" s="153">
        <v>0</v>
      </c>
      <c r="AK48" s="153">
        <v>0</v>
      </c>
      <c r="AL48" s="153">
        <v>0</v>
      </c>
      <c r="AM48" s="153">
        <v>0</v>
      </c>
      <c r="AN48" s="153">
        <v>0</v>
      </c>
      <c r="AO48" s="153">
        <v>0</v>
      </c>
      <c r="AP48" s="153">
        <v>0</v>
      </c>
      <c r="AQ48" s="153">
        <v>0</v>
      </c>
      <c r="AR48" s="153">
        <v>0</v>
      </c>
      <c r="AS48" s="153">
        <v>0</v>
      </c>
      <c r="AT48" s="153">
        <v>0</v>
      </c>
      <c r="AU48" s="153">
        <v>0</v>
      </c>
      <c r="AV48" s="153">
        <v>0</v>
      </c>
      <c r="AW48" s="153">
        <v>0</v>
      </c>
      <c r="AX48" s="153">
        <v>0</v>
      </c>
      <c r="AY48" s="153">
        <v>0</v>
      </c>
      <c r="AZ48" s="153">
        <v>0</v>
      </c>
      <c r="BA48" s="153">
        <v>0</v>
      </c>
      <c r="BB48" s="153">
        <v>0</v>
      </c>
      <c r="BC48" s="153">
        <v>0</v>
      </c>
      <c r="BD48" s="153">
        <v>0</v>
      </c>
      <c r="BE48" s="153">
        <v>0</v>
      </c>
      <c r="BF48" s="153">
        <v>0</v>
      </c>
      <c r="BG48" s="153">
        <v>0</v>
      </c>
      <c r="BH48" s="153">
        <v>0</v>
      </c>
      <c r="BI48" s="153">
        <v>0</v>
      </c>
      <c r="BJ48" s="153">
        <v>0</v>
      </c>
      <c r="BK48" s="153">
        <v>0</v>
      </c>
      <c r="BL48" s="153">
        <v>0</v>
      </c>
      <c r="BM48" s="153">
        <v>0</v>
      </c>
      <c r="BN48" s="153">
        <v>0</v>
      </c>
    </row>
    <row r="49" spans="2:66" ht="72">
      <c r="B49" s="222" t="s">
        <v>19</v>
      </c>
      <c r="C49" s="230">
        <v>15</v>
      </c>
      <c r="D49" s="229">
        <f t="shared" si="0"/>
        <v>734</v>
      </c>
      <c r="E49" s="153" t="s">
        <v>334</v>
      </c>
      <c r="F49" s="153">
        <v>157</v>
      </c>
      <c r="G49" s="153" t="s">
        <v>335</v>
      </c>
      <c r="H49" s="153">
        <v>30</v>
      </c>
      <c r="I49" s="153" t="s">
        <v>336</v>
      </c>
      <c r="J49" s="153">
        <v>30</v>
      </c>
      <c r="K49" s="153" t="s">
        <v>596</v>
      </c>
      <c r="L49" s="153">
        <v>30</v>
      </c>
      <c r="M49" s="153" t="s">
        <v>338</v>
      </c>
      <c r="N49" s="153">
        <v>30</v>
      </c>
      <c r="O49" s="153" t="s">
        <v>339</v>
      </c>
      <c r="P49" s="153">
        <v>30</v>
      </c>
      <c r="Q49" s="153" t="s">
        <v>340</v>
      </c>
      <c r="R49" s="153">
        <v>30</v>
      </c>
      <c r="S49" s="153" t="s">
        <v>341</v>
      </c>
      <c r="T49" s="153">
        <v>30</v>
      </c>
      <c r="U49" s="153" t="s">
        <v>597</v>
      </c>
      <c r="V49" s="153">
        <v>124</v>
      </c>
      <c r="W49" s="153" t="s">
        <v>343</v>
      </c>
      <c r="X49" s="153">
        <v>70</v>
      </c>
      <c r="Y49" s="153" t="s">
        <v>344</v>
      </c>
      <c r="Z49" s="153">
        <v>22</v>
      </c>
      <c r="AA49" s="153" t="s">
        <v>345</v>
      </c>
      <c r="AB49" s="153">
        <v>38</v>
      </c>
      <c r="AC49" s="153" t="s">
        <v>346</v>
      </c>
      <c r="AD49" s="153">
        <v>35</v>
      </c>
      <c r="AE49" s="153" t="s">
        <v>347</v>
      </c>
      <c r="AF49" s="153">
        <v>48</v>
      </c>
      <c r="AG49" s="153" t="s">
        <v>348</v>
      </c>
      <c r="AH49" s="153">
        <v>30</v>
      </c>
      <c r="AI49" s="153">
        <v>0</v>
      </c>
      <c r="AJ49" s="153">
        <v>0</v>
      </c>
      <c r="AK49" s="153">
        <v>0</v>
      </c>
      <c r="AL49" s="153">
        <v>0</v>
      </c>
      <c r="AM49" s="153">
        <v>0</v>
      </c>
      <c r="AN49" s="153">
        <v>0</v>
      </c>
      <c r="AO49" s="153">
        <v>0</v>
      </c>
      <c r="AP49" s="153">
        <v>0</v>
      </c>
      <c r="AQ49" s="153">
        <v>0</v>
      </c>
      <c r="AR49" s="153">
        <v>0</v>
      </c>
      <c r="AS49" s="153">
        <v>0</v>
      </c>
      <c r="AT49" s="153">
        <v>0</v>
      </c>
      <c r="AU49" s="153">
        <v>0</v>
      </c>
      <c r="AV49" s="153">
        <v>0</v>
      </c>
      <c r="AW49" s="153">
        <v>0</v>
      </c>
      <c r="AX49" s="153">
        <v>0</v>
      </c>
      <c r="AY49" s="153">
        <v>0</v>
      </c>
      <c r="AZ49" s="153">
        <v>0</v>
      </c>
      <c r="BA49" s="153">
        <v>0</v>
      </c>
      <c r="BB49" s="153">
        <v>0</v>
      </c>
      <c r="BC49" s="153">
        <v>0</v>
      </c>
      <c r="BD49" s="153">
        <v>0</v>
      </c>
      <c r="BE49" s="153">
        <v>0</v>
      </c>
      <c r="BF49" s="153">
        <v>0</v>
      </c>
      <c r="BG49" s="153">
        <v>0</v>
      </c>
      <c r="BH49" s="153">
        <v>0</v>
      </c>
      <c r="BI49" s="153">
        <v>0</v>
      </c>
      <c r="BJ49" s="153">
        <v>0</v>
      </c>
      <c r="BK49" s="153">
        <v>0</v>
      </c>
      <c r="BL49" s="153">
        <v>0</v>
      </c>
      <c r="BM49" s="153">
        <v>0</v>
      </c>
      <c r="BN49" s="153">
        <v>0</v>
      </c>
    </row>
    <row r="50" spans="2:66" ht="120">
      <c r="B50" s="222" t="s">
        <v>20</v>
      </c>
      <c r="C50" s="230">
        <v>11</v>
      </c>
      <c r="D50" s="229">
        <f t="shared" si="0"/>
        <v>666</v>
      </c>
      <c r="E50" s="153" t="s">
        <v>598</v>
      </c>
      <c r="F50" s="153">
        <v>75</v>
      </c>
      <c r="G50" s="153" t="s">
        <v>352</v>
      </c>
      <c r="H50" s="153">
        <v>77</v>
      </c>
      <c r="I50" s="153" t="s">
        <v>599</v>
      </c>
      <c r="J50" s="153">
        <v>59</v>
      </c>
      <c r="K50" s="153" t="s">
        <v>353</v>
      </c>
      <c r="L50" s="153">
        <v>38</v>
      </c>
      <c r="M50" s="153" t="s">
        <v>600</v>
      </c>
      <c r="N50" s="153">
        <v>82</v>
      </c>
      <c r="O50" s="153" t="s">
        <v>350</v>
      </c>
      <c r="P50" s="153">
        <v>69</v>
      </c>
      <c r="Q50" s="153" t="s">
        <v>349</v>
      </c>
      <c r="R50" s="153">
        <v>64</v>
      </c>
      <c r="S50" s="153" t="s">
        <v>601</v>
      </c>
      <c r="T50" s="153">
        <v>85</v>
      </c>
      <c r="U50" s="153" t="s">
        <v>602</v>
      </c>
      <c r="V50" s="153">
        <v>30</v>
      </c>
      <c r="W50" s="153" t="s">
        <v>603</v>
      </c>
      <c r="X50" s="153">
        <v>43</v>
      </c>
      <c r="Y50" s="153" t="s">
        <v>604</v>
      </c>
      <c r="Z50" s="153">
        <v>44</v>
      </c>
      <c r="AA50" s="153">
        <v>0</v>
      </c>
      <c r="AB50" s="153">
        <v>0</v>
      </c>
      <c r="AC50" s="153">
        <v>0</v>
      </c>
      <c r="AD50" s="153">
        <v>0</v>
      </c>
      <c r="AE50" s="153">
        <v>0</v>
      </c>
      <c r="AF50" s="153">
        <v>0</v>
      </c>
      <c r="AG50" s="153">
        <v>0</v>
      </c>
      <c r="AH50" s="153">
        <v>0</v>
      </c>
      <c r="AI50" s="153">
        <v>0</v>
      </c>
      <c r="AJ50" s="153">
        <v>0</v>
      </c>
      <c r="AK50" s="153">
        <v>0</v>
      </c>
      <c r="AL50" s="153">
        <v>0</v>
      </c>
      <c r="AM50" s="153">
        <v>0</v>
      </c>
      <c r="AN50" s="153">
        <v>0</v>
      </c>
      <c r="AO50" s="153">
        <v>0</v>
      </c>
      <c r="AP50" s="153">
        <v>0</v>
      </c>
      <c r="AQ50" s="153">
        <v>0</v>
      </c>
      <c r="AR50" s="153">
        <v>0</v>
      </c>
      <c r="AS50" s="153">
        <v>0</v>
      </c>
      <c r="AT50" s="153">
        <v>0</v>
      </c>
      <c r="AU50" s="153">
        <v>0</v>
      </c>
      <c r="AV50" s="153">
        <v>0</v>
      </c>
      <c r="AW50" s="153">
        <v>0</v>
      </c>
      <c r="AX50" s="153">
        <v>0</v>
      </c>
      <c r="AY50" s="153">
        <v>0</v>
      </c>
      <c r="AZ50" s="153">
        <v>0</v>
      </c>
      <c r="BA50" s="153">
        <v>0</v>
      </c>
      <c r="BB50" s="153">
        <v>0</v>
      </c>
      <c r="BC50" s="153">
        <v>0</v>
      </c>
      <c r="BD50" s="153">
        <v>0</v>
      </c>
      <c r="BE50" s="153">
        <v>0</v>
      </c>
      <c r="BF50" s="153">
        <v>0</v>
      </c>
      <c r="BG50" s="153">
        <v>0</v>
      </c>
      <c r="BH50" s="153">
        <v>0</v>
      </c>
      <c r="BI50" s="153">
        <v>0</v>
      </c>
      <c r="BJ50" s="153">
        <v>0</v>
      </c>
      <c r="BK50" s="153">
        <v>0</v>
      </c>
      <c r="BL50" s="153">
        <v>0</v>
      </c>
      <c r="BM50" s="153">
        <v>0</v>
      </c>
      <c r="BN50" s="153">
        <v>0</v>
      </c>
    </row>
    <row r="51" spans="2:66" s="233" customFormat="1" ht="120">
      <c r="B51" s="223" t="s">
        <v>21</v>
      </c>
      <c r="C51" s="231">
        <v>13</v>
      </c>
      <c r="D51" s="232">
        <f t="shared" si="0"/>
        <v>1104</v>
      </c>
      <c r="E51" s="159" t="s">
        <v>354</v>
      </c>
      <c r="F51" s="159">
        <v>50</v>
      </c>
      <c r="G51" s="159" t="s">
        <v>355</v>
      </c>
      <c r="H51" s="159">
        <v>150</v>
      </c>
      <c r="I51" s="159" t="s">
        <v>356</v>
      </c>
      <c r="J51" s="159">
        <v>100</v>
      </c>
      <c r="K51" s="159" t="s">
        <v>357</v>
      </c>
      <c r="L51" s="159">
        <v>266</v>
      </c>
      <c r="M51" s="159" t="s">
        <v>358</v>
      </c>
      <c r="N51" s="159">
        <v>90</v>
      </c>
      <c r="O51" s="159" t="s">
        <v>359</v>
      </c>
      <c r="P51" s="159">
        <v>102</v>
      </c>
      <c r="Q51" s="159" t="s">
        <v>360</v>
      </c>
      <c r="R51" s="159">
        <v>40</v>
      </c>
      <c r="S51" s="159" t="s">
        <v>361</v>
      </c>
      <c r="T51" s="159">
        <v>32</v>
      </c>
      <c r="U51" s="159" t="s">
        <v>362</v>
      </c>
      <c r="V51" s="159">
        <v>100</v>
      </c>
      <c r="W51" s="159" t="s">
        <v>363</v>
      </c>
      <c r="X51" s="159">
        <v>60</v>
      </c>
      <c r="Y51" s="159" t="s">
        <v>364</v>
      </c>
      <c r="Z51" s="159">
        <v>20</v>
      </c>
      <c r="AA51" s="159" t="s">
        <v>365</v>
      </c>
      <c r="AB51" s="159">
        <v>50</v>
      </c>
      <c r="AC51" s="159" t="s">
        <v>366</v>
      </c>
      <c r="AD51" s="159">
        <v>44</v>
      </c>
      <c r="AE51" s="159">
        <v>0</v>
      </c>
      <c r="AF51" s="159">
        <v>0</v>
      </c>
      <c r="AG51" s="159">
        <v>0</v>
      </c>
      <c r="AH51" s="159">
        <v>0</v>
      </c>
      <c r="AI51" s="159">
        <v>0</v>
      </c>
      <c r="AJ51" s="159">
        <v>0</v>
      </c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</row>
    <row r="52" spans="2:66" ht="96">
      <c r="B52" s="222" t="s">
        <v>22</v>
      </c>
      <c r="C52" s="230">
        <v>19</v>
      </c>
      <c r="D52" s="229">
        <f t="shared" si="0"/>
        <v>1102</v>
      </c>
      <c r="E52" s="153" t="s">
        <v>606</v>
      </c>
      <c r="F52" s="153">
        <v>200</v>
      </c>
      <c r="G52" s="153" t="s">
        <v>607</v>
      </c>
      <c r="H52" s="153">
        <v>58</v>
      </c>
      <c r="I52" s="153" t="s">
        <v>608</v>
      </c>
      <c r="J52" s="153">
        <v>36</v>
      </c>
      <c r="K52" s="153" t="s">
        <v>609</v>
      </c>
      <c r="L52" s="153">
        <v>99</v>
      </c>
      <c r="M52" s="153" t="s">
        <v>610</v>
      </c>
      <c r="N52" s="153">
        <v>40</v>
      </c>
      <c r="O52" s="153" t="s">
        <v>611</v>
      </c>
      <c r="P52" s="153">
        <v>49</v>
      </c>
      <c r="Q52" s="153" t="s">
        <v>612</v>
      </c>
      <c r="R52" s="153">
        <v>32</v>
      </c>
      <c r="S52" s="153" t="s">
        <v>613</v>
      </c>
      <c r="T52" s="153">
        <v>70</v>
      </c>
      <c r="U52" s="153" t="s">
        <v>614</v>
      </c>
      <c r="V52" s="153">
        <v>34</v>
      </c>
      <c r="W52" s="153" t="s">
        <v>615</v>
      </c>
      <c r="X52" s="153">
        <v>39</v>
      </c>
      <c r="Y52" s="153" t="s">
        <v>616</v>
      </c>
      <c r="Z52" s="153">
        <v>37</v>
      </c>
      <c r="AA52" s="153" t="s">
        <v>617</v>
      </c>
      <c r="AB52" s="153">
        <v>30</v>
      </c>
      <c r="AC52" s="153" t="s">
        <v>618</v>
      </c>
      <c r="AD52" s="153">
        <v>30</v>
      </c>
      <c r="AE52" s="153" t="s">
        <v>619</v>
      </c>
      <c r="AF52" s="153">
        <v>0</v>
      </c>
      <c r="AG52" s="153" t="s">
        <v>620</v>
      </c>
      <c r="AH52" s="153">
        <v>30</v>
      </c>
      <c r="AI52" s="153" t="s">
        <v>621</v>
      </c>
      <c r="AJ52" s="153">
        <v>115</v>
      </c>
      <c r="AK52" s="153" t="s">
        <v>622</v>
      </c>
      <c r="AL52" s="153">
        <v>40</v>
      </c>
      <c r="AM52" s="153" t="s">
        <v>623</v>
      </c>
      <c r="AN52" s="153">
        <v>43</v>
      </c>
      <c r="AO52" s="153" t="s">
        <v>624</v>
      </c>
      <c r="AP52" s="153">
        <v>120</v>
      </c>
      <c r="AQ52" s="153">
        <v>0</v>
      </c>
      <c r="AR52" s="153">
        <v>0</v>
      </c>
      <c r="AS52" s="153">
        <v>0</v>
      </c>
      <c r="AT52" s="153">
        <v>0</v>
      </c>
      <c r="AU52" s="153">
        <v>0</v>
      </c>
      <c r="AV52" s="153">
        <v>0</v>
      </c>
      <c r="AW52" s="153">
        <v>0</v>
      </c>
      <c r="AX52" s="153">
        <v>0</v>
      </c>
      <c r="AY52" s="153">
        <v>0</v>
      </c>
      <c r="AZ52" s="153">
        <v>0</v>
      </c>
      <c r="BA52" s="153">
        <v>0</v>
      </c>
      <c r="BB52" s="153">
        <v>0</v>
      </c>
      <c r="BC52" s="153">
        <v>0</v>
      </c>
      <c r="BD52" s="153">
        <v>0</v>
      </c>
      <c r="BE52" s="153">
        <v>0</v>
      </c>
      <c r="BF52" s="153">
        <v>0</v>
      </c>
      <c r="BG52" s="153">
        <v>0</v>
      </c>
      <c r="BH52" s="153">
        <v>0</v>
      </c>
      <c r="BI52" s="153">
        <v>0</v>
      </c>
      <c r="BJ52" s="153">
        <v>0</v>
      </c>
      <c r="BK52" s="153">
        <v>0</v>
      </c>
      <c r="BL52" s="153">
        <v>0</v>
      </c>
      <c r="BM52" s="153">
        <v>0</v>
      </c>
      <c r="BN52" s="153">
        <v>0</v>
      </c>
    </row>
    <row r="53" spans="2:66" ht="144">
      <c r="B53" s="222" t="s">
        <v>23</v>
      </c>
      <c r="C53" s="230">
        <v>3</v>
      </c>
      <c r="D53" s="229">
        <f t="shared" si="0"/>
        <v>110</v>
      </c>
      <c r="E53" s="153" t="s">
        <v>630</v>
      </c>
      <c r="F53" s="153">
        <v>50</v>
      </c>
      <c r="G53" s="153" t="s">
        <v>631</v>
      </c>
      <c r="H53" s="153">
        <v>30</v>
      </c>
      <c r="I53" s="153" t="s">
        <v>632</v>
      </c>
      <c r="J53" s="153">
        <v>30</v>
      </c>
      <c r="K53" s="153">
        <v>0</v>
      </c>
      <c r="L53" s="153">
        <v>0</v>
      </c>
      <c r="M53" s="153">
        <v>0</v>
      </c>
      <c r="N53" s="153">
        <v>0</v>
      </c>
      <c r="O53" s="153">
        <v>0</v>
      </c>
      <c r="P53" s="153">
        <v>0</v>
      </c>
      <c r="Q53" s="153">
        <v>0</v>
      </c>
      <c r="R53" s="153">
        <v>0</v>
      </c>
      <c r="S53" s="153">
        <v>0</v>
      </c>
      <c r="T53" s="153">
        <v>0</v>
      </c>
      <c r="U53" s="153">
        <v>0</v>
      </c>
      <c r="V53" s="153">
        <v>0</v>
      </c>
      <c r="W53" s="153">
        <v>0</v>
      </c>
      <c r="X53" s="153">
        <v>0</v>
      </c>
      <c r="Y53" s="153">
        <v>0</v>
      </c>
      <c r="Z53" s="153">
        <v>0</v>
      </c>
      <c r="AA53" s="153">
        <v>0</v>
      </c>
      <c r="AB53" s="153">
        <v>0</v>
      </c>
      <c r="AC53" s="153">
        <v>0</v>
      </c>
      <c r="AD53" s="153">
        <v>0</v>
      </c>
      <c r="AE53" s="153">
        <v>0</v>
      </c>
      <c r="AF53" s="153">
        <v>0</v>
      </c>
      <c r="AG53" s="153">
        <v>0</v>
      </c>
      <c r="AH53" s="153">
        <v>0</v>
      </c>
      <c r="AI53" s="153">
        <v>0</v>
      </c>
      <c r="AJ53" s="153">
        <v>0</v>
      </c>
      <c r="AK53" s="153">
        <v>0</v>
      </c>
      <c r="AL53" s="153">
        <v>0</v>
      </c>
      <c r="AM53" s="153">
        <v>0</v>
      </c>
      <c r="AN53" s="153">
        <v>0</v>
      </c>
      <c r="AO53" s="153">
        <v>0</v>
      </c>
      <c r="AP53" s="153">
        <v>0</v>
      </c>
      <c r="AQ53" s="153">
        <v>0</v>
      </c>
      <c r="AR53" s="153">
        <v>0</v>
      </c>
      <c r="AS53" s="153">
        <v>0</v>
      </c>
      <c r="AT53" s="153">
        <v>0</v>
      </c>
      <c r="AU53" s="153">
        <v>0</v>
      </c>
      <c r="AV53" s="153">
        <v>0</v>
      </c>
      <c r="AW53" s="153">
        <v>0</v>
      </c>
      <c r="AX53" s="153">
        <v>0</v>
      </c>
      <c r="AY53" s="153">
        <v>0</v>
      </c>
      <c r="AZ53" s="153">
        <v>0</v>
      </c>
      <c r="BA53" s="153">
        <v>0</v>
      </c>
      <c r="BB53" s="153">
        <v>0</v>
      </c>
      <c r="BC53" s="153">
        <v>0</v>
      </c>
      <c r="BD53" s="153">
        <v>0</v>
      </c>
      <c r="BE53" s="153">
        <v>0</v>
      </c>
      <c r="BF53" s="153">
        <v>0</v>
      </c>
      <c r="BG53" s="153">
        <v>0</v>
      </c>
      <c r="BH53" s="153">
        <v>0</v>
      </c>
      <c r="BI53" s="153">
        <v>0</v>
      </c>
      <c r="BJ53" s="153">
        <v>0</v>
      </c>
      <c r="BK53" s="153">
        <v>0</v>
      </c>
      <c r="BL53" s="153">
        <v>0</v>
      </c>
      <c r="BM53" s="153">
        <v>0</v>
      </c>
      <c r="BN53" s="153">
        <v>0</v>
      </c>
    </row>
    <row r="54" spans="2:66" ht="72">
      <c r="B54" s="222" t="s">
        <v>24</v>
      </c>
      <c r="C54" s="230">
        <v>5</v>
      </c>
      <c r="D54" s="229">
        <f t="shared" si="0"/>
        <v>670</v>
      </c>
      <c r="E54" s="153" t="s">
        <v>367</v>
      </c>
      <c r="F54" s="153">
        <v>499</v>
      </c>
      <c r="G54" s="153" t="s">
        <v>368</v>
      </c>
      <c r="H54" s="153">
        <v>48</v>
      </c>
      <c r="I54" s="153" t="s">
        <v>369</v>
      </c>
      <c r="J54" s="153">
        <v>58</v>
      </c>
      <c r="K54" s="153" t="s">
        <v>370</v>
      </c>
      <c r="L54" s="153">
        <v>30</v>
      </c>
      <c r="M54" s="153" t="s">
        <v>371</v>
      </c>
      <c r="N54" s="153">
        <v>35</v>
      </c>
      <c r="O54" s="153">
        <v>0</v>
      </c>
      <c r="P54" s="153">
        <v>0</v>
      </c>
      <c r="Q54" s="153">
        <v>0</v>
      </c>
      <c r="R54" s="153">
        <v>0</v>
      </c>
      <c r="S54" s="153">
        <v>0</v>
      </c>
      <c r="T54" s="153">
        <v>0</v>
      </c>
      <c r="U54" s="153">
        <v>0</v>
      </c>
      <c r="V54" s="153">
        <v>0</v>
      </c>
      <c r="W54" s="153">
        <v>0</v>
      </c>
      <c r="X54" s="153">
        <v>0</v>
      </c>
      <c r="Y54" s="153">
        <v>0</v>
      </c>
      <c r="Z54" s="153">
        <v>0</v>
      </c>
      <c r="AA54" s="153">
        <v>0</v>
      </c>
      <c r="AB54" s="153">
        <v>0</v>
      </c>
      <c r="AC54" s="153">
        <v>0</v>
      </c>
      <c r="AD54" s="153">
        <v>0</v>
      </c>
      <c r="AE54" s="153">
        <v>0</v>
      </c>
      <c r="AF54" s="153">
        <v>0</v>
      </c>
      <c r="AG54" s="153">
        <v>0</v>
      </c>
      <c r="AH54" s="153">
        <v>0</v>
      </c>
      <c r="AI54" s="153">
        <v>0</v>
      </c>
      <c r="AJ54" s="153">
        <v>0</v>
      </c>
      <c r="AK54" s="153">
        <v>0</v>
      </c>
      <c r="AL54" s="153">
        <v>0</v>
      </c>
      <c r="AM54" s="153">
        <v>0</v>
      </c>
      <c r="AN54" s="153">
        <v>0</v>
      </c>
      <c r="AO54" s="153">
        <v>0</v>
      </c>
      <c r="AP54" s="153">
        <v>0</v>
      </c>
      <c r="AQ54" s="153">
        <v>0</v>
      </c>
      <c r="AR54" s="153">
        <v>0</v>
      </c>
      <c r="AS54" s="153">
        <v>0</v>
      </c>
      <c r="AT54" s="153">
        <v>0</v>
      </c>
      <c r="AU54" s="153">
        <v>0</v>
      </c>
      <c r="AV54" s="153">
        <v>0</v>
      </c>
      <c r="AW54" s="153">
        <v>0</v>
      </c>
      <c r="AX54" s="153">
        <v>0</v>
      </c>
      <c r="AY54" s="153">
        <v>0</v>
      </c>
      <c r="AZ54" s="153">
        <v>0</v>
      </c>
      <c r="BA54" s="153">
        <v>0</v>
      </c>
      <c r="BB54" s="153">
        <v>0</v>
      </c>
      <c r="BC54" s="153">
        <v>0</v>
      </c>
      <c r="BD54" s="153">
        <v>0</v>
      </c>
      <c r="BE54" s="153">
        <v>0</v>
      </c>
      <c r="BF54" s="153">
        <v>0</v>
      </c>
      <c r="BG54" s="153">
        <v>0</v>
      </c>
      <c r="BH54" s="153">
        <v>0</v>
      </c>
      <c r="BI54" s="153">
        <v>0</v>
      </c>
      <c r="BJ54" s="153">
        <v>0</v>
      </c>
      <c r="BK54" s="153">
        <v>0</v>
      </c>
      <c r="BL54" s="153">
        <v>0</v>
      </c>
      <c r="BM54" s="153">
        <v>0</v>
      </c>
      <c r="BN54" s="153">
        <v>0</v>
      </c>
    </row>
    <row r="55" spans="2:66" ht="120">
      <c r="B55" s="222" t="s">
        <v>25</v>
      </c>
      <c r="C55" s="230">
        <v>7</v>
      </c>
      <c r="D55" s="229">
        <f t="shared" si="0"/>
        <v>723</v>
      </c>
      <c r="E55" s="153" t="s">
        <v>625</v>
      </c>
      <c r="F55" s="153">
        <v>190</v>
      </c>
      <c r="G55" s="153" t="s">
        <v>626</v>
      </c>
      <c r="H55" s="153">
        <v>21</v>
      </c>
      <c r="I55" s="153" t="s">
        <v>627</v>
      </c>
      <c r="J55" s="153">
        <v>25</v>
      </c>
      <c r="K55" s="153" t="s">
        <v>628</v>
      </c>
      <c r="L55" s="153">
        <v>48</v>
      </c>
      <c r="M55" s="153" t="s">
        <v>629</v>
      </c>
      <c r="N55" s="153">
        <v>251</v>
      </c>
      <c r="O55" s="153" t="s">
        <v>377</v>
      </c>
      <c r="P55" s="153">
        <v>80</v>
      </c>
      <c r="Q55" s="153" t="s">
        <v>292</v>
      </c>
      <c r="R55" s="153">
        <v>108</v>
      </c>
      <c r="S55" s="153">
        <v>0</v>
      </c>
      <c r="T55" s="153">
        <v>0</v>
      </c>
      <c r="U55" s="153">
        <v>0</v>
      </c>
      <c r="V55" s="153">
        <v>0</v>
      </c>
      <c r="W55" s="153">
        <v>0</v>
      </c>
      <c r="X55" s="153">
        <v>0</v>
      </c>
      <c r="Y55" s="153">
        <v>0</v>
      </c>
      <c r="Z55" s="153">
        <v>0</v>
      </c>
      <c r="AA55" s="153">
        <v>0</v>
      </c>
      <c r="AB55" s="153">
        <v>0</v>
      </c>
      <c r="AC55" s="153">
        <v>0</v>
      </c>
      <c r="AD55" s="153">
        <v>0</v>
      </c>
      <c r="AE55" s="153">
        <v>0</v>
      </c>
      <c r="AF55" s="153">
        <v>0</v>
      </c>
      <c r="AG55" s="153">
        <v>0</v>
      </c>
      <c r="AH55" s="153">
        <v>0</v>
      </c>
      <c r="AI55" s="153">
        <v>0</v>
      </c>
      <c r="AJ55" s="153">
        <v>0</v>
      </c>
      <c r="AK55" s="153">
        <v>0</v>
      </c>
      <c r="AL55" s="153">
        <v>0</v>
      </c>
      <c r="AM55" s="153">
        <v>0</v>
      </c>
      <c r="AN55" s="153">
        <v>0</v>
      </c>
      <c r="AO55" s="153">
        <v>0</v>
      </c>
      <c r="AP55" s="153">
        <v>0</v>
      </c>
      <c r="AQ55" s="153">
        <v>0</v>
      </c>
      <c r="AR55" s="153">
        <v>0</v>
      </c>
      <c r="AS55" s="153">
        <v>0</v>
      </c>
      <c r="AT55" s="153">
        <v>0</v>
      </c>
      <c r="AU55" s="153">
        <v>0</v>
      </c>
      <c r="AV55" s="153">
        <v>0</v>
      </c>
      <c r="AW55" s="153">
        <v>0</v>
      </c>
      <c r="AX55" s="153">
        <v>0</v>
      </c>
      <c r="AY55" s="153">
        <v>0</v>
      </c>
      <c r="AZ55" s="153">
        <v>0</v>
      </c>
      <c r="BA55" s="153">
        <v>0</v>
      </c>
      <c r="BB55" s="153">
        <v>0</v>
      </c>
      <c r="BC55" s="153">
        <v>0</v>
      </c>
      <c r="BD55" s="153">
        <v>0</v>
      </c>
      <c r="BE55" s="153">
        <v>0</v>
      </c>
      <c r="BF55" s="153">
        <v>0</v>
      </c>
      <c r="BG55" s="153">
        <v>0</v>
      </c>
      <c r="BH55" s="153">
        <v>0</v>
      </c>
      <c r="BI55" s="153">
        <v>0</v>
      </c>
      <c r="BJ55" s="153">
        <v>0</v>
      </c>
      <c r="BK55" s="153">
        <v>0</v>
      </c>
      <c r="BL55" s="153">
        <v>0</v>
      </c>
      <c r="BM55" s="153">
        <v>0</v>
      </c>
      <c r="BN55" s="153">
        <v>0</v>
      </c>
    </row>
  </sheetData>
  <sheetProtection algorithmName="SHA-512" hashValue="tfQyFEarYOehwHh3kCG6wPhUxWT++/onRCzCGxn5HSyTA7Q46DtJSzcPMvLumM1IapiDeRQdOuh8Oj+I2mH+ZQ==" saltValue="fwQy2BTSgGYpKTMpxO0Rkg==" spinCount="100000" sheet="1" objects="1" scenarios="1"/>
  <mergeCells count="105">
    <mergeCell ref="M2:N2"/>
    <mergeCell ref="O2:P2"/>
    <mergeCell ref="G2:H2"/>
    <mergeCell ref="I2:J2"/>
    <mergeCell ref="Q2:R2"/>
    <mergeCell ref="B2:B4"/>
    <mergeCell ref="C2:C4"/>
    <mergeCell ref="D2:D4"/>
    <mergeCell ref="E2:F2"/>
    <mergeCell ref="K2:L2"/>
    <mergeCell ref="J3:J4"/>
    <mergeCell ref="K3:K4"/>
    <mergeCell ref="L3:L4"/>
    <mergeCell ref="M3:M4"/>
    <mergeCell ref="N3:N4"/>
    <mergeCell ref="E3:E4"/>
    <mergeCell ref="F3:F4"/>
    <mergeCell ref="G3:G4"/>
    <mergeCell ref="H3:H4"/>
    <mergeCell ref="I3:I4"/>
    <mergeCell ref="O3:O4"/>
    <mergeCell ref="P3:P4"/>
    <mergeCell ref="Q3:Q4"/>
    <mergeCell ref="R3:R4"/>
    <mergeCell ref="T3:T4"/>
    <mergeCell ref="U2:V2"/>
    <mergeCell ref="W2:X2"/>
    <mergeCell ref="Y2:Z2"/>
    <mergeCell ref="U3:U4"/>
    <mergeCell ref="V3:V4"/>
    <mergeCell ref="W3:W4"/>
    <mergeCell ref="X3:X4"/>
    <mergeCell ref="Y3:Y4"/>
    <mergeCell ref="Z3:Z4"/>
    <mergeCell ref="S2:T2"/>
    <mergeCell ref="S3:S4"/>
    <mergeCell ref="AA3:AA4"/>
    <mergeCell ref="AB3:AB4"/>
    <mergeCell ref="AC3:AC4"/>
    <mergeCell ref="AD3:AD4"/>
    <mergeCell ref="AE3:AE4"/>
    <mergeCell ref="AA2:AB2"/>
    <mergeCell ref="AC2:AD2"/>
    <mergeCell ref="AE2:AF2"/>
    <mergeCell ref="AG2:AH2"/>
    <mergeCell ref="BA2:BB2"/>
    <mergeCell ref="BC2:BD2"/>
    <mergeCell ref="AK2:AL2"/>
    <mergeCell ref="AM2:AN2"/>
    <mergeCell ref="AO2:AP2"/>
    <mergeCell ref="AQ2:AR2"/>
    <mergeCell ref="AS2:AT2"/>
    <mergeCell ref="AF3:AF4"/>
    <mergeCell ref="AG3:AG4"/>
    <mergeCell ref="AH3:AH4"/>
    <mergeCell ref="AI3:AI4"/>
    <mergeCell ref="AJ3:AJ4"/>
    <mergeCell ref="AI2:AJ2"/>
    <mergeCell ref="BC3:BC4"/>
    <mergeCell ref="BD3:BD4"/>
    <mergeCell ref="BO2:BP2"/>
    <mergeCell ref="BQ2:BR2"/>
    <mergeCell ref="BS2:BT2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BE2:BF2"/>
    <mergeCell ref="BG2:BH2"/>
    <mergeCell ref="BI2:BJ2"/>
    <mergeCell ref="BK2:BL2"/>
    <mergeCell ref="BM2:BN2"/>
    <mergeCell ref="AU2:AV2"/>
    <mergeCell ref="AW2:AX2"/>
    <mergeCell ref="AY2:AZ2"/>
    <mergeCell ref="BE3:BE4"/>
    <mergeCell ref="BF3:BF4"/>
    <mergeCell ref="BG3:BG4"/>
    <mergeCell ref="AX3:AX4"/>
    <mergeCell ref="AY3:AY4"/>
    <mergeCell ref="AZ3:AZ4"/>
    <mergeCell ref="BA3:BA4"/>
    <mergeCell ref="BB3:BB4"/>
    <mergeCell ref="BR3:BR4"/>
    <mergeCell ref="BS3:BS4"/>
    <mergeCell ref="BT3:BT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dashboard</vt:lpstr>
      <vt:lpstr>dashboard map</vt:lpstr>
      <vt:lpstr>เรียงลำดับ</vt:lpstr>
      <vt:lpstr>เลือกรายเขต</vt:lpstr>
      <vt:lpstr>data</vt:lpstr>
      <vt:lpstr>ทะเบียนราษฏร์</vt:lpstr>
      <vt:lpstr>ข้อมูลอื่นๆ</vt:lpstr>
      <vt:lpstr>ข้อมูลชมรม</vt:lpstr>
      <vt:lpstr>ชมรม</vt:lpstr>
      <vt:lpstr>Sheet2</vt:lpstr>
      <vt:lpstr>ข้อมูลอื่นๆ (2)</vt:lpstr>
      <vt:lpstr>allay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DELL3050</dc:creator>
  <cp:lastModifiedBy>DELL3050</cp:lastModifiedBy>
  <cp:lastPrinted>2021-03-16T08:00:07Z</cp:lastPrinted>
  <dcterms:created xsi:type="dcterms:W3CDTF">2019-10-21T05:48:52Z</dcterms:created>
  <dcterms:modified xsi:type="dcterms:W3CDTF">2021-03-16T09:06:23Z</dcterms:modified>
</cp:coreProperties>
</file>