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D:\1. งบประมาณประจำปี 2568\"/>
    </mc:Choice>
  </mc:AlternateContent>
  <xr:revisionPtr revIDLastSave="0" documentId="13_ncr:1_{1E3A3862-0ACF-40FA-9DC5-043456244561}" xr6:coauthVersionLast="45" xr6:coauthVersionMax="47" xr10:uidLastSave="{00000000-0000-0000-0000-000000000000}"/>
  <bookViews>
    <workbookView xWindow="-120" yWindow="-120" windowWidth="24240" windowHeight="13140" firstSheet="3" activeTab="3" xr2:uid="{975BCE9D-9372-4A5F-9447-1D376CDD2DB6}"/>
  </bookViews>
  <sheets>
    <sheet name="1.สรุป(ต.ค.66-มี.ค.67)" sheetId="8" r:id="rId1"/>
    <sheet name="2.กราฟ" sheetId="7" r:id="rId2"/>
    <sheet name="3.สรุป 6 เดือน" sheetId="1" r:id="rId3"/>
    <sheet name="4.ต.ค.66 - มี.ค. 67(10 ฝ่าย)ITA" sheetId="10" r:id="rId4"/>
  </sheets>
  <definedNames>
    <definedName name="_xlnm.Print_Area" localSheetId="0">'1.สรุป(ต.ค.66-มี.ค.67)'!$A$1:$K$24</definedName>
    <definedName name="_xlnm.Print_Area" localSheetId="1">'2.กราฟ'!$A$1:$N$58</definedName>
    <definedName name="_xlnm.Print_Area" localSheetId="2">'3.สรุป 6 เดือน'!$A$1:$M$28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0" l="1"/>
  <c r="C14" i="10"/>
  <c r="C11" i="10"/>
  <c r="H12" i="10"/>
  <c r="H149" i="10"/>
  <c r="H148" i="10"/>
  <c r="H147" i="10"/>
  <c r="H208" i="10"/>
  <c r="H205" i="10"/>
  <c r="H204" i="10"/>
  <c r="H203" i="10"/>
  <c r="H9" i="10"/>
  <c r="G295" i="10"/>
  <c r="G149" i="10"/>
  <c r="G148" i="10"/>
  <c r="G147" i="10"/>
  <c r="G7" i="10" s="1"/>
  <c r="G205" i="10"/>
  <c r="G204" i="10"/>
  <c r="G203" i="10"/>
  <c r="G8" i="10"/>
  <c r="F149" i="10"/>
  <c r="F148" i="10"/>
  <c r="F147" i="10"/>
  <c r="F205" i="10"/>
  <c r="F204" i="10"/>
  <c r="F203" i="10"/>
  <c r="D149" i="10"/>
  <c r="D148" i="10"/>
  <c r="D147" i="10"/>
  <c r="D205" i="10"/>
  <c r="D204" i="10"/>
  <c r="D203" i="10"/>
  <c r="C147" i="10"/>
  <c r="C149" i="10"/>
  <c r="C148" i="10"/>
  <c r="C205" i="10"/>
  <c r="C204" i="10"/>
  <c r="C203" i="10"/>
  <c r="H8" i="10"/>
  <c r="H10" i="10"/>
  <c r="H11" i="10"/>
  <c r="H13" i="10"/>
  <c r="H14" i="10"/>
  <c r="G10" i="10"/>
  <c r="G11" i="10"/>
  <c r="G12" i="10"/>
  <c r="G13" i="10"/>
  <c r="G14" i="10"/>
  <c r="H7" i="10"/>
  <c r="F8" i="10"/>
  <c r="F10" i="10"/>
  <c r="F11" i="10"/>
  <c r="F12" i="10"/>
  <c r="F13" i="10"/>
  <c r="F14" i="10"/>
  <c r="F7" i="10"/>
  <c r="D7" i="10"/>
  <c r="D8" i="10"/>
  <c r="D10" i="10"/>
  <c r="D11" i="10"/>
  <c r="D13" i="10"/>
  <c r="D14" i="10"/>
  <c r="C9" i="10"/>
  <c r="C10" i="10"/>
  <c r="C7" i="10"/>
  <c r="B8" i="10"/>
  <c r="B9" i="10"/>
  <c r="B10" i="10"/>
  <c r="B7" i="10"/>
  <c r="J288" i="10"/>
  <c r="J289" i="10"/>
  <c r="J290" i="10"/>
  <c r="J291" i="10"/>
  <c r="J292" i="10"/>
  <c r="J293" i="10"/>
  <c r="J294" i="10"/>
  <c r="J287" i="10"/>
  <c r="B148" i="10"/>
  <c r="B147" i="10"/>
  <c r="B204" i="10"/>
  <c r="B203" i="10"/>
  <c r="B205" i="10"/>
  <c r="G9" i="10" l="1"/>
  <c r="F9" i="10"/>
  <c r="D9" i="10"/>
  <c r="C8" i="10"/>
  <c r="M7" i="1"/>
  <c r="U40" i="7" l="1"/>
  <c r="Q45" i="7"/>
  <c r="R44" i="7"/>
  <c r="R40" i="7"/>
  <c r="R36" i="7" l="1"/>
  <c r="S36" i="7" s="1"/>
  <c r="Q35" i="7"/>
  <c r="Q34" i="7"/>
  <c r="Q33" i="7"/>
  <c r="S7" i="7"/>
  <c r="G20" i="8"/>
  <c r="C20" i="8"/>
  <c r="G14" i="8"/>
  <c r="B14" i="8" l="1"/>
  <c r="B20" i="8" s="1"/>
  <c r="I8" i="8"/>
  <c r="J35" i="10" l="1"/>
  <c r="L10" i="1"/>
  <c r="K10" i="1"/>
  <c r="I10" i="1"/>
  <c r="H10" i="1"/>
  <c r="F10" i="1"/>
  <c r="D10" i="1"/>
  <c r="D14" i="1" s="1"/>
  <c r="C10" i="1"/>
  <c r="B10" i="1"/>
  <c r="B14" i="1" s="1"/>
  <c r="M12" i="1"/>
  <c r="M9" i="1"/>
  <c r="M8" i="1"/>
  <c r="J11" i="10"/>
  <c r="Q15" i="7"/>
  <c r="E15" i="10"/>
  <c r="I15" i="10"/>
  <c r="I63" i="10"/>
  <c r="J63" i="10"/>
  <c r="E64" i="10"/>
  <c r="I64" i="10"/>
  <c r="E65" i="10"/>
  <c r="J65" i="10" s="1"/>
  <c r="I65" i="10"/>
  <c r="E66" i="10"/>
  <c r="I66" i="10"/>
  <c r="J66" i="10"/>
  <c r="E67" i="10"/>
  <c r="J67" i="10" s="1"/>
  <c r="I67" i="10"/>
  <c r="E68" i="10"/>
  <c r="J68" i="10" s="1"/>
  <c r="F71" i="10"/>
  <c r="E69" i="10"/>
  <c r="J69" i="10" s="1"/>
  <c r="I69" i="10"/>
  <c r="D71" i="10"/>
  <c r="E70" i="10"/>
  <c r="I70" i="10"/>
  <c r="B71" i="10"/>
  <c r="C71" i="10"/>
  <c r="H71" i="10"/>
  <c r="H15" i="10" l="1"/>
  <c r="J8" i="10"/>
  <c r="J10" i="10"/>
  <c r="J9" i="10"/>
  <c r="J14" i="10"/>
  <c r="J7" i="10"/>
  <c r="M10" i="1"/>
  <c r="M13" i="1" s="1"/>
  <c r="G15" i="10"/>
  <c r="F15" i="10"/>
  <c r="B15" i="10"/>
  <c r="E71" i="10"/>
  <c r="J64" i="10"/>
  <c r="J71" i="10" s="1"/>
  <c r="G71" i="10"/>
  <c r="I68" i="10"/>
  <c r="I71" i="10" s="1"/>
  <c r="I294" i="10"/>
  <c r="E294" i="10"/>
  <c r="I293" i="10"/>
  <c r="B293" i="10"/>
  <c r="E293" i="10" s="1"/>
  <c r="H292" i="10"/>
  <c r="G292" i="10"/>
  <c r="G265" i="10" s="1"/>
  <c r="F292" i="10"/>
  <c r="D292" i="10"/>
  <c r="D295" i="10" s="1"/>
  <c r="D297" i="10" s="1"/>
  <c r="C292" i="10"/>
  <c r="C265" i="10" s="1"/>
  <c r="B292" i="10"/>
  <c r="B265" i="10" s="1"/>
  <c r="H295" i="10"/>
  <c r="H297" i="10" s="1"/>
  <c r="C295" i="10"/>
  <c r="C297" i="10" s="1"/>
  <c r="B291" i="10"/>
  <c r="B264" i="10" s="1"/>
  <c r="I290" i="10"/>
  <c r="E290" i="10"/>
  <c r="I289" i="10"/>
  <c r="E289" i="10"/>
  <c r="I288" i="10"/>
  <c r="E288" i="10"/>
  <c r="I287" i="10"/>
  <c r="I266" i="10"/>
  <c r="E266" i="10"/>
  <c r="H265" i="10"/>
  <c r="F264" i="10"/>
  <c r="I262" i="10"/>
  <c r="E262" i="10"/>
  <c r="J262" i="10" s="1"/>
  <c r="I261" i="10"/>
  <c r="E261" i="10"/>
  <c r="J261" i="10" s="1"/>
  <c r="I260" i="10"/>
  <c r="E260" i="10"/>
  <c r="J260" i="10" s="1"/>
  <c r="J259" i="10"/>
  <c r="I259" i="10"/>
  <c r="I238" i="10"/>
  <c r="E238" i="10"/>
  <c r="C235" i="10"/>
  <c r="B235" i="10"/>
  <c r="I234" i="10"/>
  <c r="E234" i="10"/>
  <c r="J234" i="10" s="1"/>
  <c r="I233" i="10"/>
  <c r="E233" i="10"/>
  <c r="J233" i="10" s="1"/>
  <c r="I232" i="10"/>
  <c r="E232" i="10"/>
  <c r="J232" i="10" s="1"/>
  <c r="I231" i="10"/>
  <c r="E205" i="10"/>
  <c r="I210" i="10"/>
  <c r="E210" i="10"/>
  <c r="I206" i="10"/>
  <c r="E206" i="10"/>
  <c r="J206" i="10" s="1"/>
  <c r="J175" i="10"/>
  <c r="I182" i="10"/>
  <c r="E182" i="10"/>
  <c r="B179" i="10"/>
  <c r="I178" i="10"/>
  <c r="E178" i="10"/>
  <c r="J178" i="10" s="1"/>
  <c r="I177" i="10"/>
  <c r="I176" i="10"/>
  <c r="E176" i="10"/>
  <c r="J176" i="10" s="1"/>
  <c r="I175" i="10"/>
  <c r="J154" i="10"/>
  <c r="I154" i="10"/>
  <c r="E154" i="10"/>
  <c r="B151" i="10"/>
  <c r="I150" i="10"/>
  <c r="E150" i="10"/>
  <c r="J150" i="10" s="1"/>
  <c r="I126" i="10"/>
  <c r="E126" i="10"/>
  <c r="B123" i="10"/>
  <c r="I122" i="10"/>
  <c r="E122" i="10"/>
  <c r="J122" i="10" s="1"/>
  <c r="I121" i="10"/>
  <c r="E121" i="10"/>
  <c r="J121" i="10" s="1"/>
  <c r="I120" i="10"/>
  <c r="E120" i="10"/>
  <c r="J120" i="10" s="1"/>
  <c r="J119" i="10"/>
  <c r="I119" i="10"/>
  <c r="I98" i="10"/>
  <c r="E98" i="10"/>
  <c r="I94" i="10"/>
  <c r="E94" i="10"/>
  <c r="J94" i="10" s="1"/>
  <c r="I93" i="10"/>
  <c r="E93" i="10"/>
  <c r="J93" i="10" s="1"/>
  <c r="I92" i="10"/>
  <c r="E92" i="10"/>
  <c r="J92" i="10" s="1"/>
  <c r="J91" i="10"/>
  <c r="I91" i="10"/>
  <c r="D267" i="10" l="1"/>
  <c r="D269" i="10" s="1"/>
  <c r="D12" i="10"/>
  <c r="D15" i="10" s="1"/>
  <c r="E265" i="10"/>
  <c r="I292" i="10"/>
  <c r="B295" i="10"/>
  <c r="B297" i="10" s="1"/>
  <c r="E292" i="10"/>
  <c r="H267" i="10"/>
  <c r="H269" i="10" s="1"/>
  <c r="I263" i="10"/>
  <c r="E263" i="10"/>
  <c r="J263" i="10" s="1"/>
  <c r="B267" i="10"/>
  <c r="B269" i="10" s="1"/>
  <c r="F265" i="10"/>
  <c r="I265" i="10" s="1"/>
  <c r="B237" i="10"/>
  <c r="I291" i="10"/>
  <c r="I295" i="10" s="1"/>
  <c r="I297" i="10" s="1"/>
  <c r="F295" i="10"/>
  <c r="F297" i="10" s="1"/>
  <c r="G267" i="10"/>
  <c r="G269" i="10" s="1"/>
  <c r="I264" i="10"/>
  <c r="G297" i="10"/>
  <c r="F237" i="10"/>
  <c r="I237" i="10" s="1"/>
  <c r="E291" i="10"/>
  <c r="I235" i="10"/>
  <c r="J205" i="10"/>
  <c r="I204" i="10"/>
  <c r="I147" i="10"/>
  <c r="E235" i="10"/>
  <c r="J235" i="10" s="1"/>
  <c r="J231" i="10"/>
  <c r="E179" i="10"/>
  <c r="J179" i="10" s="1"/>
  <c r="I205" i="10"/>
  <c r="I203" i="10"/>
  <c r="E204" i="10"/>
  <c r="J204" i="10" s="1"/>
  <c r="J203" i="10"/>
  <c r="I179" i="10"/>
  <c r="I207" i="10"/>
  <c r="E207" i="10"/>
  <c r="J207" i="10" s="1"/>
  <c r="I123" i="10"/>
  <c r="E177" i="10"/>
  <c r="I149" i="10"/>
  <c r="I148" i="10"/>
  <c r="E149" i="10"/>
  <c r="J149" i="10" s="1"/>
  <c r="E148" i="10"/>
  <c r="J148" i="10" s="1"/>
  <c r="J147" i="10"/>
  <c r="I151" i="10"/>
  <c r="E151" i="10"/>
  <c r="J151" i="10" s="1"/>
  <c r="E123" i="10"/>
  <c r="J123" i="10" s="1"/>
  <c r="E95" i="10"/>
  <c r="I95" i="10"/>
  <c r="I35" i="10"/>
  <c r="E36" i="10"/>
  <c r="J36" i="10" s="1"/>
  <c r="I36" i="10"/>
  <c r="E37" i="10"/>
  <c r="J37" i="10" s="1"/>
  <c r="I37" i="10"/>
  <c r="E38" i="10"/>
  <c r="J38" i="10" s="1"/>
  <c r="I38" i="10"/>
  <c r="B39" i="10"/>
  <c r="E42" i="10"/>
  <c r="I42" i="10"/>
  <c r="J12" i="10" l="1"/>
  <c r="E295" i="10"/>
  <c r="E297" i="10" s="1"/>
  <c r="F267" i="10"/>
  <c r="F269" i="10" s="1"/>
  <c r="I267" i="10"/>
  <c r="I269" i="10" s="1"/>
  <c r="J295" i="10"/>
  <c r="J297" i="10" s="1"/>
  <c r="C237" i="10"/>
  <c r="C13" i="10" s="1"/>
  <c r="C267" i="10"/>
  <c r="C269" i="10" s="1"/>
  <c r="E264" i="10"/>
  <c r="J177" i="10"/>
  <c r="J95" i="10"/>
  <c r="I39" i="10"/>
  <c r="E39" i="10"/>
  <c r="J39" i="10" s="1"/>
  <c r="E237" i="10" l="1"/>
  <c r="E267" i="10"/>
  <c r="E269" i="10" s="1"/>
  <c r="J264" i="10"/>
  <c r="J267" i="10" s="1"/>
  <c r="J269" i="10" s="1"/>
  <c r="D239" i="10"/>
  <c r="D211" i="10"/>
  <c r="F13" i="7"/>
  <c r="J13" i="10" l="1"/>
  <c r="J15" i="10" s="1"/>
  <c r="J17" i="10" s="1"/>
  <c r="C15" i="10"/>
  <c r="I208" i="10"/>
  <c r="D213" i="10"/>
  <c r="D159" i="10"/>
  <c r="C211" i="10"/>
  <c r="C239" i="10"/>
  <c r="G239" i="10"/>
  <c r="G215" i="10"/>
  <c r="F211" i="10"/>
  <c r="F239" i="10"/>
  <c r="I236" i="10"/>
  <c r="I239" i="10" s="1"/>
  <c r="I241" i="10" s="1"/>
  <c r="E236" i="10"/>
  <c r="E239" i="10" s="1"/>
  <c r="E241" i="10" s="1"/>
  <c r="B239" i="10"/>
  <c r="H239" i="10"/>
  <c r="H211" i="10"/>
  <c r="D241" i="10"/>
  <c r="D183" i="10"/>
  <c r="E208" i="10"/>
  <c r="D215" i="10"/>
  <c r="R7" i="7"/>
  <c r="H215" i="10" l="1"/>
  <c r="I181" i="10"/>
  <c r="C213" i="10"/>
  <c r="F213" i="10"/>
  <c r="F241" i="10"/>
  <c r="F186" i="10"/>
  <c r="D155" i="10"/>
  <c r="E209" i="10"/>
  <c r="E211" i="10" s="1"/>
  <c r="E213" i="10" s="1"/>
  <c r="J208" i="10"/>
  <c r="H241" i="10"/>
  <c r="H186" i="10"/>
  <c r="I209" i="10"/>
  <c r="I215" i="10" s="1"/>
  <c r="G211" i="10"/>
  <c r="H213" i="10"/>
  <c r="B211" i="10"/>
  <c r="B241" i="10"/>
  <c r="B186" i="10"/>
  <c r="G241" i="10"/>
  <c r="G186" i="10"/>
  <c r="B215" i="10"/>
  <c r="C215" i="10"/>
  <c r="F215" i="10"/>
  <c r="E181" i="10"/>
  <c r="J181" i="10" s="1"/>
  <c r="J236" i="10"/>
  <c r="D185" i="10"/>
  <c r="D131" i="10"/>
  <c r="C241" i="10"/>
  <c r="C186" i="10"/>
  <c r="B19" i="10"/>
  <c r="H299" i="10"/>
  <c r="G299" i="10"/>
  <c r="F299" i="10"/>
  <c r="D299" i="10"/>
  <c r="C299" i="10"/>
  <c r="B299" i="10"/>
  <c r="H271" i="10"/>
  <c r="G271" i="10"/>
  <c r="F271" i="10"/>
  <c r="D271" i="10"/>
  <c r="C271" i="10"/>
  <c r="B271" i="10"/>
  <c r="H243" i="10"/>
  <c r="G243" i="10"/>
  <c r="F243" i="10"/>
  <c r="D243" i="10"/>
  <c r="C243" i="10"/>
  <c r="B243" i="10"/>
  <c r="D186" i="10"/>
  <c r="H47" i="10"/>
  <c r="G47" i="10"/>
  <c r="F47" i="10"/>
  <c r="D47" i="10"/>
  <c r="C47" i="10"/>
  <c r="B47" i="10"/>
  <c r="E215" i="10" l="1"/>
  <c r="J209" i="10"/>
  <c r="J215" i="10" s="1"/>
  <c r="J239" i="10"/>
  <c r="J241" i="10" s="1"/>
  <c r="I211" i="10"/>
  <c r="I213" i="10" s="1"/>
  <c r="D157" i="10"/>
  <c r="D127" i="10"/>
  <c r="G183" i="10"/>
  <c r="H155" i="10"/>
  <c r="H183" i="10"/>
  <c r="F155" i="10"/>
  <c r="F183" i="10"/>
  <c r="I180" i="10"/>
  <c r="I183" i="10" s="1"/>
  <c r="I185" i="10" s="1"/>
  <c r="G213" i="10"/>
  <c r="I152" i="10"/>
  <c r="E180" i="10"/>
  <c r="E183" i="10" s="1"/>
  <c r="E185" i="10" s="1"/>
  <c r="B183" i="10"/>
  <c r="B213" i="10"/>
  <c r="C155" i="10"/>
  <c r="C183" i="10"/>
  <c r="I271" i="10"/>
  <c r="G19" i="10"/>
  <c r="F19" i="10"/>
  <c r="E271" i="10"/>
  <c r="E243" i="10"/>
  <c r="E47" i="10"/>
  <c r="E299" i="10"/>
  <c r="C19" i="10"/>
  <c r="I243" i="10"/>
  <c r="I47" i="10"/>
  <c r="D19" i="10"/>
  <c r="I299" i="10"/>
  <c r="H19" i="10"/>
  <c r="J211" i="10" l="1"/>
  <c r="J213" i="10" s="1"/>
  <c r="I186" i="10"/>
  <c r="H159" i="10"/>
  <c r="J180" i="10"/>
  <c r="J183" i="10" s="1"/>
  <c r="J185" i="10" s="1"/>
  <c r="C159" i="10"/>
  <c r="E153" i="10"/>
  <c r="J153" i="10" s="1"/>
  <c r="F159" i="10"/>
  <c r="E186" i="10"/>
  <c r="C157" i="10"/>
  <c r="B185" i="10"/>
  <c r="H185" i="10"/>
  <c r="B155" i="10"/>
  <c r="E152" i="10"/>
  <c r="B159" i="10"/>
  <c r="H157" i="10"/>
  <c r="D129" i="10"/>
  <c r="F157" i="10"/>
  <c r="I125" i="10"/>
  <c r="G155" i="10"/>
  <c r="G159" i="10"/>
  <c r="C185" i="10"/>
  <c r="F185" i="10"/>
  <c r="D99" i="10"/>
  <c r="D103" i="10"/>
  <c r="G185" i="10"/>
  <c r="I153" i="10"/>
  <c r="I155" i="10" s="1"/>
  <c r="I157" i="10" s="1"/>
  <c r="J19" i="10"/>
  <c r="J47" i="10"/>
  <c r="J299" i="10"/>
  <c r="J271" i="10"/>
  <c r="J243" i="10"/>
  <c r="E19" i="10"/>
  <c r="I19" i="10"/>
  <c r="J186" i="10" l="1"/>
  <c r="D73" i="10"/>
  <c r="B127" i="10"/>
  <c r="E124" i="10"/>
  <c r="B131" i="10"/>
  <c r="I96" i="10"/>
  <c r="G157" i="10"/>
  <c r="D101" i="10"/>
  <c r="E125" i="10"/>
  <c r="J125" i="10" s="1"/>
  <c r="F127" i="10"/>
  <c r="I124" i="10"/>
  <c r="I131" i="10" s="1"/>
  <c r="F131" i="10"/>
  <c r="J152" i="10"/>
  <c r="E155" i="10"/>
  <c r="E157" i="10" s="1"/>
  <c r="E159" i="10"/>
  <c r="D75" i="10"/>
  <c r="B157" i="10"/>
  <c r="I159" i="10"/>
  <c r="G127" i="10"/>
  <c r="G131" i="10"/>
  <c r="C103" i="10"/>
  <c r="C127" i="10"/>
  <c r="C131" i="10"/>
  <c r="H103" i="10"/>
  <c r="H127" i="10"/>
  <c r="H131" i="10"/>
  <c r="I97" i="10" l="1"/>
  <c r="I103" i="10" s="1"/>
  <c r="C99" i="10"/>
  <c r="C129" i="10"/>
  <c r="C75" i="10"/>
  <c r="F129" i="10"/>
  <c r="J124" i="10"/>
  <c r="E127" i="10"/>
  <c r="E129" i="10" s="1"/>
  <c r="E131" i="10"/>
  <c r="D43" i="10"/>
  <c r="D45" i="10" s="1"/>
  <c r="B129" i="10"/>
  <c r="F103" i="10"/>
  <c r="H99" i="10"/>
  <c r="E97" i="10"/>
  <c r="J97" i="10" s="1"/>
  <c r="G129" i="10"/>
  <c r="J155" i="10"/>
  <c r="J157" i="10" s="1"/>
  <c r="J159" i="10"/>
  <c r="H129" i="10"/>
  <c r="F99" i="10"/>
  <c r="G99" i="10"/>
  <c r="G103" i="10"/>
  <c r="B103" i="10"/>
  <c r="B99" i="10"/>
  <c r="E96" i="10"/>
  <c r="J96" i="10" s="1"/>
  <c r="I127" i="10"/>
  <c r="I129" i="10" s="1"/>
  <c r="S8" i="7"/>
  <c r="E8" i="1"/>
  <c r="J8" i="1"/>
  <c r="J9" i="1"/>
  <c r="J10" i="1" s="1"/>
  <c r="J11" i="1"/>
  <c r="J12" i="1"/>
  <c r="G10" i="1"/>
  <c r="E9" i="1"/>
  <c r="G8" i="1"/>
  <c r="G9" i="1"/>
  <c r="G11" i="1"/>
  <c r="G12" i="1"/>
  <c r="E11" i="1"/>
  <c r="E12" i="1"/>
  <c r="H13" i="1"/>
  <c r="I13" i="1"/>
  <c r="E10" i="1" l="1"/>
  <c r="I99" i="10"/>
  <c r="I101" i="10" s="1"/>
  <c r="D17" i="10"/>
  <c r="H75" i="10"/>
  <c r="J127" i="10"/>
  <c r="J129" i="10" s="1"/>
  <c r="J131" i="10"/>
  <c r="F73" i="10"/>
  <c r="F75" i="10"/>
  <c r="B75" i="10"/>
  <c r="G101" i="10"/>
  <c r="G75" i="10"/>
  <c r="B101" i="10"/>
  <c r="J99" i="10"/>
  <c r="J101" i="10" s="1"/>
  <c r="J103" i="10"/>
  <c r="E99" i="10"/>
  <c r="E101" i="10" s="1"/>
  <c r="E103" i="10"/>
  <c r="F101" i="10"/>
  <c r="H101" i="10"/>
  <c r="C101" i="10"/>
  <c r="D13" i="1"/>
  <c r="H14" i="1"/>
  <c r="H15" i="1" s="1"/>
  <c r="J13" i="1"/>
  <c r="D15" i="1"/>
  <c r="F14" i="1"/>
  <c r="I14" i="1"/>
  <c r="I15" i="1" s="1"/>
  <c r="K14" i="1"/>
  <c r="L14" i="1"/>
  <c r="I14" i="8"/>
  <c r="H8" i="8"/>
  <c r="G8" i="8"/>
  <c r="D8" i="8"/>
  <c r="I41" i="10" l="1"/>
  <c r="G43" i="10"/>
  <c r="G45" i="10" s="1"/>
  <c r="I73" i="10"/>
  <c r="I75" i="10"/>
  <c r="H43" i="10"/>
  <c r="H45" i="10" s="1"/>
  <c r="B43" i="10"/>
  <c r="B45" i="10" s="1"/>
  <c r="E40" i="10"/>
  <c r="E41" i="10"/>
  <c r="J41" i="10" s="1"/>
  <c r="E73" i="10"/>
  <c r="E75" i="10"/>
  <c r="C73" i="10"/>
  <c r="G73" i="10"/>
  <c r="J73" i="10"/>
  <c r="J75" i="10"/>
  <c r="B73" i="10"/>
  <c r="F43" i="10"/>
  <c r="F45" i="10" s="1"/>
  <c r="I40" i="10"/>
  <c r="C43" i="10"/>
  <c r="C45" i="10" s="1"/>
  <c r="H73" i="10"/>
  <c r="C14" i="1"/>
  <c r="E13" i="1"/>
  <c r="J14" i="1"/>
  <c r="J15" i="1" s="1"/>
  <c r="G14" i="1"/>
  <c r="G15" i="1" s="1"/>
  <c r="G13" i="1"/>
  <c r="B13" i="1"/>
  <c r="L13" i="1"/>
  <c r="K13" i="1"/>
  <c r="F13" i="1"/>
  <c r="C13" i="1"/>
  <c r="D20" i="8"/>
  <c r="I20" i="8"/>
  <c r="J8" i="8"/>
  <c r="H14" i="8"/>
  <c r="J14" i="8" s="1"/>
  <c r="H20" i="8"/>
  <c r="D14" i="8"/>
  <c r="M14" i="1" l="1"/>
  <c r="M15" i="1" s="1"/>
  <c r="I43" i="10"/>
  <c r="I45" i="10" s="1"/>
  <c r="B17" i="10"/>
  <c r="G17" i="10"/>
  <c r="H17" i="10"/>
  <c r="F17" i="10"/>
  <c r="C17" i="10"/>
  <c r="J40" i="10"/>
  <c r="E43" i="10"/>
  <c r="E45" i="10" s="1"/>
  <c r="E14" i="1"/>
  <c r="E15" i="1" s="1"/>
  <c r="J20" i="8"/>
  <c r="R45" i="7"/>
  <c r="Q8" i="7"/>
  <c r="J43" i="10" l="1"/>
  <c r="J45" i="10" s="1"/>
  <c r="I17" i="10"/>
  <c r="E17" i="10"/>
  <c r="K15" i="1" l="1"/>
  <c r="B15" i="1"/>
  <c r="F15" i="1" l="1"/>
  <c r="L15" i="1"/>
  <c r="C15" i="1"/>
  <c r="R43" i="7"/>
  <c r="R46" i="7" s="1"/>
  <c r="Q46" i="7"/>
  <c r="Q47" i="7" s="1"/>
</calcChain>
</file>

<file path=xl/sharedStrings.xml><?xml version="1.0" encoding="utf-8"?>
<sst xmlns="http://schemas.openxmlformats.org/spreadsheetml/2006/main" count="370" uniqueCount="86">
  <si>
    <t>เงินเดือนและ</t>
  </si>
  <si>
    <t>ค่าจ้างชั่วคราว</t>
  </si>
  <si>
    <t>ค่าตอบแทน</t>
  </si>
  <si>
    <t>ค่าสาธารณูปโภค</t>
  </si>
  <si>
    <t>เงินอุดหนุน</t>
  </si>
  <si>
    <t>รายจ่ายอื่น</t>
  </si>
  <si>
    <t>รวมทั้งสิ้น</t>
  </si>
  <si>
    <t>ค่าจ้างประจำ</t>
  </si>
  <si>
    <t>ใช้สอยและวัสดุ</t>
  </si>
  <si>
    <t>ที่ดินและสิ่งก่อสร้าง</t>
  </si>
  <si>
    <t>งบประมาณ</t>
  </si>
  <si>
    <t>งบประมาณได้รับอนุมัติ</t>
  </si>
  <si>
    <t>โอนลด -</t>
  </si>
  <si>
    <t>โอนเพิ่ม +</t>
  </si>
  <si>
    <t>งบประมาณหลังปรับโอน</t>
  </si>
  <si>
    <t>ผลการเบิกจ่าย</t>
  </si>
  <si>
    <t>ผลการเบิกจ่ายทั้งสิ้น</t>
  </si>
  <si>
    <t>คิดเป็นร้อยละ</t>
  </si>
  <si>
    <t>งบประมาณคงเหลือ</t>
  </si>
  <si>
    <t>เบิกจ่าย</t>
  </si>
  <si>
    <t>ก่อหนี้</t>
  </si>
  <si>
    <t>หลังปรับโอน</t>
  </si>
  <si>
    <t>ฝ่ายการศึกษา</t>
  </si>
  <si>
    <t>ฝ่ายปกครอง</t>
  </si>
  <si>
    <t>สรุปผลการเบิกจ่ายภาพรวม</t>
  </si>
  <si>
    <t>งบประมาณ กทม.</t>
  </si>
  <si>
    <t>งบประจำปี</t>
  </si>
  <si>
    <t>งบกลาง</t>
  </si>
  <si>
    <t>รวมงบ กทม.</t>
  </si>
  <si>
    <t>%</t>
  </si>
  <si>
    <t>รวมไตรมาสที่ 1</t>
  </si>
  <si>
    <t>รวมไตรมาสที่ 2</t>
  </si>
  <si>
    <t xml:space="preserve"> - ค่าจ้างชั่วคราว</t>
  </si>
  <si>
    <t xml:space="preserve"> - ค่าตอบแทนใช้สอยและวัสดุ</t>
  </si>
  <si>
    <t xml:space="preserve"> - ค่าสาธารณูปโภค</t>
  </si>
  <si>
    <t xml:space="preserve"> - ค่าครุภัณฑ์ </t>
  </si>
  <si>
    <t xml:space="preserve"> - ที่ดินและสิ่งก่อสร้าง</t>
  </si>
  <si>
    <t>รวมงบประมาณ</t>
  </si>
  <si>
    <t>รวมรวมทั้งสิ้น</t>
  </si>
  <si>
    <t>ก่อหนี้ผูกพัน</t>
  </si>
  <si>
    <t>เหลือ</t>
  </si>
  <si>
    <t>สรุปการก่อหนี้งบลงทุน</t>
  </si>
  <si>
    <t>สรุปการเบิกจ่ายงบลงทุน</t>
  </si>
  <si>
    <t>ปัญหาอุปสรรคในการดำเนินงาน</t>
  </si>
  <si>
    <t>ไตรมาสที่ 4    (กรกฎาคม - กันยายน 2567)   ร้อยละ 100</t>
  </si>
  <si>
    <t>การเบิกจ่ายงบประมาณภาพรวมรายไตรมาส</t>
  </si>
  <si>
    <t>ไตรมาสที่ 1    (ตุลาคม - ธันวาคม 2566)      ร้อยละ 15</t>
  </si>
  <si>
    <t>ประเภทงบรายจ่าย</t>
  </si>
  <si>
    <t>ค่าครุภัณฑ์ ที่ดินและสิ่งก่อสร้าง</t>
  </si>
  <si>
    <t>ครุภัณฑ์</t>
  </si>
  <si>
    <t xml:space="preserve"> - เงินเดือนและค่าจ้างประจำ</t>
  </si>
  <si>
    <t>ยังไม่ก่อหนี้ผูกพัน</t>
  </si>
  <si>
    <t>คงเหลือหลังก่อหนี้</t>
  </si>
  <si>
    <t>การเบิกจ่าย</t>
  </si>
  <si>
    <t>ฝ่ายทะเบียน</t>
  </si>
  <si>
    <t>ฝ่ายการคลัง</t>
  </si>
  <si>
    <t>ฝ่ายรายได้</t>
  </si>
  <si>
    <t>ฝ่ายรักษาความสะอาดและสวนสาธารณะ</t>
  </si>
  <si>
    <t>ฝ่ายเทศกิจ</t>
  </si>
  <si>
    <t>ฝ่ายโยธา</t>
  </si>
  <si>
    <t>ฝ่ายพัฒนาชุมชนและสวัสดิการสังคม</t>
  </si>
  <si>
    <t>ฝ่ายสิ่งแวดล้อมและสุขาภิบาล</t>
  </si>
  <si>
    <t>ปรับโอน</t>
  </si>
  <si>
    <t>งปม.คงเหลือ</t>
  </si>
  <si>
    <t>ยังไม่ก่อหนี้</t>
  </si>
  <si>
    <t>diff</t>
  </si>
  <si>
    <t xml:space="preserve">ผลดำเนินงาน งบลงทุน ค่าครุภัณฑ์ ที่ดินและสิ่งก่อสร้าง </t>
  </si>
  <si>
    <t>สรุปผลการใช้จ่ายงบประมาณรายจ่ายประจำปีงบประมาณ พ.ศ. 2567</t>
  </si>
  <si>
    <t>สรุปผลการดำเนินการ : การใช้จ่ายเงินงบประมาณรายจ่ายประจำปีงบประมาณ พ.ศ. 2567</t>
  </si>
  <si>
    <t>สำนักงานเขตบึงกุ่ม</t>
  </si>
  <si>
    <t>รวม</t>
  </si>
  <si>
    <t xml:space="preserve"> - งบเงินอุดหนุน</t>
  </si>
  <si>
    <t xml:space="preserve"> - งบรายจ่ายอื่น</t>
  </si>
  <si>
    <t>สรุปผลการดำเนินการ  : งบประมาณรายจ่ายประจำปีงบประมาณ พ.ศ. 2568</t>
  </si>
  <si>
    <t>1. ในช่วงต้นปีงบประมาณ ตั้งแต่เดือนธันวาคม 2567-มีนาคม 2568 ของสำนักงานเขตบึงกุ่ม ขาดแคลนบุคลากรหลายอัตรา</t>
  </si>
  <si>
    <t>( วันที่ 1 ตุลาคม 2567 - 31 มีนาคม 2568)</t>
  </si>
  <si>
    <t>ไตรมาสที่ 2    (มกราคม - มีนาคม 2567)      ร้อยละ 40</t>
  </si>
  <si>
    <t>ไตรมาสที่ 3    (เมษายน - มิถุนายน 2567)     ร้อยละ 75</t>
  </si>
  <si>
    <t>ณ วันที่ 31 มีนาคม 2568</t>
  </si>
  <si>
    <t>ตุลาคม 2567 - มีนาคม 2568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</si>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</sst>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(* #,##0.00_);_(* \(#,##0.00\);_(* &quot;-&quot;_);_(@_)"/>
    <numFmt numFmtId="189" formatCode="_-* #,##0_-;\-* #,##0_-;_-* &quot;-&quot;??_-;_-@_-"/>
  </numFmts>
  <fonts count="3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4"/>
      <name val="TH SarabunPSK"/>
      <family val="2"/>
    </font>
    <font>
      <b/>
      <u/>
      <sz val="16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  <charset val="22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4"/>
      <name val="CordiaUPC"/>
      <family val="2"/>
    </font>
    <font>
      <sz val="11"/>
      <color theme="1"/>
      <name val="TH SarabunPSK"/>
      <family val="2"/>
    </font>
    <font>
      <b/>
      <sz val="16"/>
      <name val="TH SarabunPSK"/>
      <family val="2"/>
    </font>
    <font>
      <b/>
      <sz val="16"/>
      <color rgb="FF0000CC"/>
      <name val="TH SarabunPSK"/>
      <family val="2"/>
    </font>
    <font>
      <u/>
      <sz val="16"/>
      <name val="TH SarabunPSK"/>
      <family val="2"/>
    </font>
    <font>
      <b/>
      <sz val="18"/>
      <color theme="1"/>
      <name val="TH SarabunPSK"/>
      <family val="2"/>
    </font>
    <font>
      <sz val="15"/>
      <color theme="0"/>
      <name val="TH SarabunPSK"/>
      <family val="2"/>
    </font>
    <font>
      <sz val="18"/>
      <color theme="1"/>
      <name val="TH Sarabun New"/>
      <family val="2"/>
    </font>
    <font>
      <b/>
      <sz val="18"/>
      <name val="TH Sarabun New"/>
      <family val="2"/>
    </font>
    <font>
      <b/>
      <sz val="18"/>
      <color theme="1"/>
      <name val="TH Sarabun New"/>
      <family val="2"/>
    </font>
    <font>
      <b/>
      <u/>
      <sz val="18"/>
      <color theme="1"/>
      <name val="TH Sarabun New"/>
      <family val="2"/>
    </font>
    <font>
      <sz val="18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u/>
      <sz val="18"/>
      <color theme="1"/>
      <name val="TH Sarabun New"/>
      <family val="2"/>
    </font>
    <font>
      <sz val="1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0" fontId="7" fillId="0" borderId="0"/>
    <xf numFmtId="0" fontId="10" fillId="0" borderId="0"/>
    <xf numFmtId="187" fontId="10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9" fillId="0" borderId="0"/>
    <xf numFmtId="0" fontId="14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9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15" fillId="0" borderId="0" xfId="8" applyFont="1"/>
    <xf numFmtId="43" fontId="15" fillId="0" borderId="0" xfId="8" applyNumberFormat="1" applyFont="1"/>
    <xf numFmtId="0" fontId="4" fillId="0" borderId="0" xfId="23" applyFont="1"/>
    <xf numFmtId="0" fontId="12" fillId="2" borderId="1" xfId="10" applyFont="1" applyFill="1" applyBorder="1" applyAlignment="1">
      <alignment horizontal="center" vertical="center"/>
    </xf>
    <xf numFmtId="49" fontId="12" fillId="2" borderId="18" xfId="9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4" fillId="0" borderId="0" xfId="1" applyFont="1" applyBorder="1"/>
    <xf numFmtId="187" fontId="4" fillId="0" borderId="0" xfId="0" applyNumberFormat="1" applyFont="1"/>
    <xf numFmtId="43" fontId="4" fillId="0" borderId="0" xfId="0" applyNumberFormat="1" applyFont="1"/>
    <xf numFmtId="43" fontId="4" fillId="0" borderId="0" xfId="1" applyFont="1"/>
    <xf numFmtId="0" fontId="4" fillId="0" borderId="0" xfId="0" applyFont="1" applyAlignment="1">
      <alignment horizontal="left"/>
    </xf>
    <xf numFmtId="189" fontId="4" fillId="0" borderId="0" xfId="1" applyNumberFormat="1" applyFont="1" applyBorder="1"/>
    <xf numFmtId="189" fontId="16" fillId="0" borderId="0" xfId="1" applyNumberFormat="1" applyFont="1" applyBorder="1"/>
    <xf numFmtId="49" fontId="18" fillId="0" borderId="0" xfId="1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43" fontId="4" fillId="0" borderId="5" xfId="1" applyFont="1" applyFill="1" applyBorder="1"/>
    <xf numFmtId="187" fontId="4" fillId="0" borderId="5" xfId="1" applyNumberFormat="1" applyFont="1" applyFill="1" applyBorder="1"/>
    <xf numFmtId="187" fontId="4" fillId="0" borderId="26" xfId="1" applyNumberFormat="1" applyFont="1" applyFill="1" applyBorder="1"/>
    <xf numFmtId="43" fontId="4" fillId="0" borderId="27" xfId="0" applyNumberFormat="1" applyFont="1" applyBorder="1"/>
    <xf numFmtId="43" fontId="4" fillId="0" borderId="7" xfId="0" applyNumberFormat="1" applyFont="1" applyBorder="1"/>
    <xf numFmtId="43" fontId="4" fillId="0" borderId="28" xfId="0" applyNumberFormat="1" applyFont="1" applyBorder="1"/>
    <xf numFmtId="43" fontId="4" fillId="0" borderId="7" xfId="1" applyFont="1" applyFill="1" applyBorder="1"/>
    <xf numFmtId="0" fontId="4" fillId="4" borderId="31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4" fillId="4" borderId="34" xfId="0" applyFont="1" applyFill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43" fontId="4" fillId="0" borderId="37" xfId="1" applyFont="1" applyFill="1" applyBorder="1"/>
    <xf numFmtId="43" fontId="4" fillId="0" borderId="38" xfId="1" applyFont="1" applyFill="1" applyBorder="1"/>
    <xf numFmtId="188" fontId="4" fillId="0" borderId="37" xfId="1" applyNumberFormat="1" applyFont="1" applyFill="1" applyBorder="1"/>
    <xf numFmtId="188" fontId="4" fillId="0" borderId="39" xfId="1" applyNumberFormat="1" applyFont="1" applyFill="1" applyBorder="1"/>
    <xf numFmtId="43" fontId="4" fillId="0" borderId="41" xfId="0" applyNumberFormat="1" applyFont="1" applyBorder="1"/>
    <xf numFmtId="43" fontId="4" fillId="0" borderId="42" xfId="0" applyNumberFormat="1" applyFont="1" applyBorder="1"/>
    <xf numFmtId="43" fontId="4" fillId="0" borderId="43" xfId="0" applyNumberFormat="1" applyFont="1" applyBorder="1"/>
    <xf numFmtId="43" fontId="4" fillId="0" borderId="44" xfId="0" applyNumberFormat="1" applyFont="1" applyBorder="1"/>
    <xf numFmtId="43" fontId="4" fillId="0" borderId="38" xfId="0" applyNumberFormat="1" applyFont="1" applyBorder="1"/>
    <xf numFmtId="43" fontId="4" fillId="0" borderId="45" xfId="0" applyNumberFormat="1" applyFont="1" applyBorder="1"/>
    <xf numFmtId="43" fontId="4" fillId="0" borderId="32" xfId="0" applyNumberFormat="1" applyFont="1" applyBorder="1"/>
    <xf numFmtId="43" fontId="4" fillId="0" borderId="43" xfId="1" applyFont="1" applyFill="1" applyBorder="1"/>
    <xf numFmtId="43" fontId="4" fillId="0" borderId="44" xfId="1" applyFont="1" applyFill="1" applyBorder="1"/>
    <xf numFmtId="43" fontId="4" fillId="0" borderId="46" xfId="1" applyFont="1" applyBorder="1"/>
    <xf numFmtId="43" fontId="4" fillId="0" borderId="47" xfId="1" applyFont="1" applyBorder="1"/>
    <xf numFmtId="187" fontId="4" fillId="0" borderId="38" xfId="0" applyNumberFormat="1" applyFont="1" applyBorder="1"/>
    <xf numFmtId="187" fontId="4" fillId="0" borderId="40" xfId="0" applyNumberFormat="1" applyFont="1" applyBorder="1"/>
    <xf numFmtId="43" fontId="4" fillId="0" borderId="48" xfId="0" applyNumberFormat="1" applyFont="1" applyBorder="1"/>
    <xf numFmtId="43" fontId="4" fillId="5" borderId="15" xfId="1" applyFont="1" applyFill="1" applyBorder="1"/>
    <xf numFmtId="0" fontId="4" fillId="4" borderId="51" xfId="0" applyFont="1" applyFill="1" applyBorder="1" applyAlignment="1">
      <alignment horizontal="center" vertical="center"/>
    </xf>
    <xf numFmtId="43" fontId="4" fillId="0" borderId="37" xfId="1" applyFont="1" applyBorder="1"/>
    <xf numFmtId="43" fontId="4" fillId="0" borderId="43" xfId="1" applyFont="1" applyBorder="1"/>
    <xf numFmtId="43" fontId="4" fillId="0" borderId="44" xfId="1" applyFont="1" applyBorder="1"/>
    <xf numFmtId="43" fontId="4" fillId="0" borderId="46" xfId="0" applyNumberFormat="1" applyFont="1" applyBorder="1"/>
    <xf numFmtId="0" fontId="4" fillId="0" borderId="52" xfId="0" applyFont="1" applyBorder="1" applyAlignment="1">
      <alignment horizontal="center"/>
    </xf>
    <xf numFmtId="43" fontId="4" fillId="0" borderId="10" xfId="0" applyNumberFormat="1" applyFont="1" applyBorder="1"/>
    <xf numFmtId="187" fontId="4" fillId="0" borderId="10" xfId="0" applyNumberFormat="1" applyFont="1" applyBorder="1"/>
    <xf numFmtId="187" fontId="4" fillId="0" borderId="12" xfId="0" applyNumberFormat="1" applyFont="1" applyBorder="1"/>
    <xf numFmtId="43" fontId="4" fillId="0" borderId="22" xfId="0" applyNumberFormat="1" applyFont="1" applyBorder="1"/>
    <xf numFmtId="43" fontId="4" fillId="0" borderId="13" xfId="0" applyNumberFormat="1" applyFont="1" applyBorder="1"/>
    <xf numFmtId="43" fontId="4" fillId="0" borderId="20" xfId="0" applyNumberFormat="1" applyFont="1" applyBorder="1"/>
    <xf numFmtId="43" fontId="4" fillId="0" borderId="13" xfId="1" applyFont="1" applyBorder="1"/>
    <xf numFmtId="43" fontId="4" fillId="0" borderId="9" xfId="0" applyNumberFormat="1" applyFont="1" applyBorder="1"/>
    <xf numFmtId="43" fontId="4" fillId="0" borderId="10" xfId="1" applyFont="1" applyBorder="1"/>
    <xf numFmtId="187" fontId="4" fillId="0" borderId="10" xfId="1" applyNumberFormat="1" applyFont="1" applyBorder="1"/>
    <xf numFmtId="187" fontId="4" fillId="0" borderId="12" xfId="1" applyNumberFormat="1" applyFont="1" applyBorder="1"/>
    <xf numFmtId="43" fontId="4" fillId="0" borderId="9" xfId="1" applyFont="1" applyBorder="1"/>
    <xf numFmtId="0" fontId="6" fillId="0" borderId="52" xfId="0" applyFont="1" applyBorder="1" applyAlignment="1">
      <alignment horizontal="center"/>
    </xf>
    <xf numFmtId="0" fontId="4" fillId="0" borderId="10" xfId="0" applyFont="1" applyBorder="1"/>
    <xf numFmtId="0" fontId="6" fillId="0" borderId="10" xfId="0" applyFont="1" applyBorder="1" applyAlignment="1">
      <alignment horizontal="center"/>
    </xf>
    <xf numFmtId="0" fontId="4" fillId="0" borderId="11" xfId="0" applyFont="1" applyBorder="1"/>
    <xf numFmtId="0" fontId="4" fillId="7" borderId="17" xfId="0" applyFont="1" applyFill="1" applyBorder="1" applyAlignment="1">
      <alignment horizontal="center"/>
    </xf>
    <xf numFmtId="0" fontId="4" fillId="7" borderId="30" xfId="0" applyFont="1" applyFill="1" applyBorder="1" applyAlignment="1">
      <alignment horizontal="center"/>
    </xf>
    <xf numFmtId="43" fontId="4" fillId="7" borderId="14" xfId="1" applyFont="1" applyFill="1" applyBorder="1"/>
    <xf numFmtId="43" fontId="4" fillId="7" borderId="0" xfId="0" applyNumberFormat="1" applyFont="1" applyFill="1"/>
    <xf numFmtId="0" fontId="4" fillId="7" borderId="17" xfId="0" applyFont="1" applyFill="1" applyBorder="1" applyAlignment="1">
      <alignment horizontal="center" vertical="center"/>
    </xf>
    <xf numFmtId="43" fontId="4" fillId="7" borderId="17" xfId="0" applyNumberFormat="1" applyFont="1" applyFill="1" applyBorder="1"/>
    <xf numFmtId="0" fontId="4" fillId="7" borderId="29" xfId="0" applyFont="1" applyFill="1" applyBorder="1" applyAlignment="1">
      <alignment horizontal="center"/>
    </xf>
    <xf numFmtId="43" fontId="4" fillId="7" borderId="14" xfId="0" applyNumberFormat="1" applyFont="1" applyFill="1" applyBorder="1"/>
    <xf numFmtId="43" fontId="4" fillId="0" borderId="34" xfId="0" applyNumberFormat="1" applyFont="1" applyBorder="1"/>
    <xf numFmtId="187" fontId="12" fillId="2" borderId="18" xfId="9" applyFont="1" applyFill="1" applyBorder="1" applyAlignment="1">
      <alignment horizontal="center" vertical="center"/>
    </xf>
    <xf numFmtId="189" fontId="13" fillId="0" borderId="0" xfId="11" applyNumberFormat="1" applyFont="1" applyAlignment="1">
      <alignment vertical="center"/>
    </xf>
    <xf numFmtId="0" fontId="13" fillId="0" borderId="0" xfId="10" applyFont="1" applyAlignment="1">
      <alignment vertical="center"/>
    </xf>
    <xf numFmtId="0" fontId="13" fillId="0" borderId="4" xfId="10" applyFont="1" applyBorder="1" applyAlignment="1">
      <alignment vertical="center"/>
    </xf>
    <xf numFmtId="187" fontId="13" fillId="0" borderId="4" xfId="9" applyFont="1" applyBorder="1" applyAlignment="1">
      <alignment vertical="center"/>
    </xf>
    <xf numFmtId="187" fontId="13" fillId="3" borderId="4" xfId="9" applyFont="1" applyFill="1" applyBorder="1" applyAlignment="1">
      <alignment vertical="center"/>
    </xf>
    <xf numFmtId="0" fontId="13" fillId="0" borderId="8" xfId="10" applyFont="1" applyBorder="1" applyAlignment="1">
      <alignment vertical="center"/>
    </xf>
    <xf numFmtId="187" fontId="13" fillId="3" borderId="6" xfId="9" applyFont="1" applyFill="1" applyBorder="1" applyAlignment="1">
      <alignment horizontal="left" vertical="center"/>
    </xf>
    <xf numFmtId="0" fontId="13" fillId="0" borderId="6" xfId="10" applyFont="1" applyBorder="1" applyAlignment="1">
      <alignment horizontal="left" vertical="center"/>
    </xf>
    <xf numFmtId="0" fontId="13" fillId="0" borderId="6" xfId="10" applyFont="1" applyBorder="1" applyAlignment="1">
      <alignment vertical="center"/>
    </xf>
    <xf numFmtId="0" fontId="13" fillId="0" borderId="19" xfId="10" applyFont="1" applyBorder="1" applyAlignment="1">
      <alignment vertical="center"/>
    </xf>
    <xf numFmtId="0" fontId="12" fillId="0" borderId="18" xfId="10" applyFont="1" applyBorder="1" applyAlignment="1">
      <alignment horizontal="center" vertical="center"/>
    </xf>
    <xf numFmtId="187" fontId="12" fillId="0" borderId="18" xfId="9" applyFont="1" applyBorder="1" applyAlignment="1">
      <alignment horizontal="center" vertical="center"/>
    </xf>
    <xf numFmtId="187" fontId="12" fillId="3" borderId="18" xfId="9" applyFont="1" applyFill="1" applyBorder="1" applyAlignment="1">
      <alignment horizontal="center" vertical="center"/>
    </xf>
    <xf numFmtId="187" fontId="13" fillId="0" borderId="0" xfId="9" applyFont="1" applyAlignment="1">
      <alignment vertical="center"/>
    </xf>
    <xf numFmtId="187" fontId="5" fillId="0" borderId="0" xfId="9" applyFont="1"/>
    <xf numFmtId="187" fontId="15" fillId="0" borderId="0" xfId="8" applyNumberFormat="1" applyFont="1"/>
    <xf numFmtId="2" fontId="15" fillId="0" borderId="0" xfId="8" applyNumberFormat="1" applyFont="1"/>
    <xf numFmtId="0" fontId="19" fillId="0" borderId="0" xfId="8" applyFont="1"/>
    <xf numFmtId="43" fontId="4" fillId="0" borderId="22" xfId="1" applyFont="1" applyBorder="1"/>
    <xf numFmtId="43" fontId="4" fillId="0" borderId="37" xfId="0" applyNumberFormat="1" applyFont="1" applyBorder="1"/>
    <xf numFmtId="43" fontId="4" fillId="0" borderId="5" xfId="0" applyNumberFormat="1" applyFont="1" applyBorder="1"/>
    <xf numFmtId="43" fontId="4" fillId="0" borderId="14" xfId="1" applyFont="1" applyFill="1" applyBorder="1"/>
    <xf numFmtId="43" fontId="4" fillId="0" borderId="14" xfId="0" applyNumberFormat="1" applyFont="1" applyBorder="1"/>
    <xf numFmtId="187" fontId="13" fillId="0" borderId="8" xfId="9" applyFont="1" applyBorder="1" applyAlignment="1">
      <alignment horizontal="left" vertical="center"/>
    </xf>
    <xf numFmtId="187" fontId="13" fillId="0" borderId="53" xfId="9" applyFont="1" applyBorder="1" applyAlignment="1">
      <alignment horizontal="left" vertical="center"/>
    </xf>
    <xf numFmtId="187" fontId="12" fillId="3" borderId="6" xfId="9" applyFont="1" applyFill="1" applyBorder="1" applyAlignment="1">
      <alignment horizontal="left" vertical="center"/>
    </xf>
    <xf numFmtId="187" fontId="13" fillId="0" borderId="6" xfId="9" applyFont="1" applyFill="1" applyBorder="1" applyAlignment="1">
      <alignment horizontal="left" vertical="center"/>
    </xf>
    <xf numFmtId="187" fontId="13" fillId="0" borderId="6" xfId="9" applyFont="1" applyFill="1" applyBorder="1" applyAlignment="1">
      <alignment vertical="center"/>
    </xf>
    <xf numFmtId="187" fontId="13" fillId="0" borderId="0" xfId="9" applyFont="1" applyFill="1" applyAlignment="1">
      <alignment vertical="center"/>
    </xf>
    <xf numFmtId="187" fontId="12" fillId="0" borderId="6" xfId="9" applyFont="1" applyFill="1" applyBorder="1" applyAlignment="1">
      <alignment horizontal="left" vertical="center"/>
    </xf>
    <xf numFmtId="0" fontId="20" fillId="0" borderId="0" xfId="10" applyFont="1" applyAlignment="1">
      <alignment vertical="center"/>
    </xf>
    <xf numFmtId="187" fontId="20" fillId="0" borderId="0" xfId="9" applyFont="1" applyAlignment="1">
      <alignment vertical="center"/>
    </xf>
    <xf numFmtId="187" fontId="20" fillId="0" borderId="0" xfId="9" applyFont="1" applyFill="1" applyAlignment="1">
      <alignment vertical="center"/>
    </xf>
    <xf numFmtId="0" fontId="21" fillId="0" borderId="0" xfId="8" applyFont="1"/>
    <xf numFmtId="43" fontId="21" fillId="0" borderId="0" xfId="14" applyFont="1"/>
    <xf numFmtId="43" fontId="21" fillId="0" borderId="0" xfId="8" applyNumberFormat="1" applyFont="1" applyAlignment="1">
      <alignment vertical="center"/>
    </xf>
    <xf numFmtId="0" fontId="23" fillId="0" borderId="0" xfId="8" applyFont="1"/>
    <xf numFmtId="43" fontId="21" fillId="0" borderId="0" xfId="14" applyFont="1" applyAlignment="1">
      <alignment vertical="center"/>
    </xf>
    <xf numFmtId="0" fontId="21" fillId="0" borderId="0" xfId="8" applyFont="1" applyAlignment="1">
      <alignment vertical="center"/>
    </xf>
    <xf numFmtId="0" fontId="23" fillId="0" borderId="0" xfId="8" applyFont="1" applyAlignment="1">
      <alignment horizontal="center" vertical="center"/>
    </xf>
    <xf numFmtId="43" fontId="23" fillId="0" borderId="0" xfId="14" applyFont="1"/>
    <xf numFmtId="0" fontId="23" fillId="0" borderId="0" xfId="8" applyFont="1" applyAlignment="1">
      <alignment vertical="center"/>
    </xf>
    <xf numFmtId="43" fontId="23" fillId="0" borderId="0" xfId="14" applyFont="1" applyAlignment="1">
      <alignment vertical="center"/>
    </xf>
    <xf numFmtId="0" fontId="23" fillId="0" borderId="18" xfId="8" applyFont="1" applyBorder="1" applyAlignment="1">
      <alignment horizontal="center" vertical="center"/>
    </xf>
    <xf numFmtId="0" fontId="23" fillId="0" borderId="18" xfId="8" applyFont="1" applyBorder="1" applyAlignment="1">
      <alignment horizontal="center" vertical="center" shrinkToFit="1"/>
    </xf>
    <xf numFmtId="43" fontId="23" fillId="0" borderId="0" xfId="14" applyFont="1" applyAlignment="1">
      <alignment horizontal="center" vertical="center"/>
    </xf>
    <xf numFmtId="43" fontId="25" fillId="0" borderId="18" xfId="8" applyNumberFormat="1" applyFont="1" applyBorder="1" applyAlignment="1">
      <alignment vertical="center"/>
    </xf>
    <xf numFmtId="2" fontId="21" fillId="0" borderId="18" xfId="8" applyNumberFormat="1" applyFont="1" applyBorder="1" applyAlignment="1">
      <alignment horizontal="center" vertical="center"/>
    </xf>
    <xf numFmtId="43" fontId="21" fillId="0" borderId="18" xfId="8" applyNumberFormat="1" applyFont="1" applyBorder="1" applyAlignment="1">
      <alignment vertical="center"/>
    </xf>
    <xf numFmtId="43" fontId="21" fillId="0" borderId="18" xfId="8" applyNumberFormat="1" applyFont="1" applyBorder="1" applyAlignment="1">
      <alignment vertical="center" shrinkToFit="1"/>
    </xf>
    <xf numFmtId="43" fontId="23" fillId="0" borderId="0" xfId="14" applyFont="1" applyAlignment="1">
      <alignment horizontal="left" vertical="center"/>
    </xf>
    <xf numFmtId="0" fontId="21" fillId="0" borderId="0" xfId="8" applyFont="1" applyAlignment="1">
      <alignment horizontal="center"/>
    </xf>
    <xf numFmtId="43" fontId="21" fillId="0" borderId="0" xfId="8" applyNumberFormat="1" applyFont="1" applyAlignment="1">
      <alignment horizontal="center"/>
    </xf>
    <xf numFmtId="0" fontId="21" fillId="0" borderId="0" xfId="8" applyFont="1" applyAlignment="1">
      <alignment horizontal="center" shrinkToFit="1"/>
    </xf>
    <xf numFmtId="43" fontId="21" fillId="0" borderId="0" xfId="8" applyNumberFormat="1" applyFont="1"/>
    <xf numFmtId="0" fontId="21" fillId="0" borderId="0" xfId="8" applyFont="1" applyAlignment="1">
      <alignment shrinkToFit="1"/>
    </xf>
    <xf numFmtId="2" fontId="21" fillId="0" borderId="0" xfId="8" applyNumberFormat="1" applyFont="1" applyAlignment="1">
      <alignment horizontal="center" vertical="center"/>
    </xf>
    <xf numFmtId="43" fontId="21" fillId="0" borderId="0" xfId="8" applyNumberFormat="1" applyFont="1" applyAlignment="1">
      <alignment vertical="center" shrinkToFit="1"/>
    </xf>
    <xf numFmtId="0" fontId="21" fillId="0" borderId="0" xfId="8" applyFont="1" applyAlignment="1">
      <alignment vertical="top"/>
    </xf>
    <xf numFmtId="0" fontId="26" fillId="0" borderId="0" xfId="8" applyFont="1" applyAlignment="1">
      <alignment vertical="top"/>
    </xf>
    <xf numFmtId="0" fontId="21" fillId="0" borderId="0" xfId="8" applyFont="1" applyAlignment="1">
      <alignment vertical="top" shrinkToFit="1"/>
    </xf>
    <xf numFmtId="43" fontId="21" fillId="0" borderId="0" xfId="14" applyFont="1" applyAlignment="1">
      <alignment vertical="top"/>
    </xf>
    <xf numFmtId="0" fontId="27" fillId="0" borderId="0" xfId="8" applyFont="1" applyAlignment="1">
      <alignment vertical="top"/>
    </xf>
    <xf numFmtId="0" fontId="26" fillId="0" borderId="0" xfId="8" applyFont="1" applyAlignment="1">
      <alignment vertical="top" shrinkToFit="1"/>
    </xf>
    <xf numFmtId="43" fontId="26" fillId="0" borderId="0" xfId="14" applyFont="1" applyAlignment="1">
      <alignment vertical="top"/>
    </xf>
    <xf numFmtId="0" fontId="28" fillId="0" borderId="0" xfId="8" applyFont="1"/>
    <xf numFmtId="0" fontId="4" fillId="5" borderId="30" xfId="0" applyFont="1" applyFill="1" applyBorder="1" applyAlignment="1">
      <alignment horizontal="center"/>
    </xf>
    <xf numFmtId="43" fontId="4" fillId="5" borderId="14" xfId="1" applyFont="1" applyFill="1" applyBorder="1"/>
    <xf numFmtId="43" fontId="4" fillId="5" borderId="0" xfId="0" applyNumberFormat="1" applyFont="1" applyFill="1"/>
    <xf numFmtId="43" fontId="4" fillId="5" borderId="17" xfId="1" applyFont="1" applyFill="1" applyBorder="1"/>
    <xf numFmtId="0" fontId="4" fillId="4" borderId="54" xfId="0" applyFont="1" applyFill="1" applyBorder="1" applyAlignment="1">
      <alignment horizontal="center"/>
    </xf>
    <xf numFmtId="0" fontId="4" fillId="7" borderId="29" xfId="0" applyFont="1" applyFill="1" applyBorder="1" applyAlignment="1">
      <alignment horizontal="center" vertical="center"/>
    </xf>
    <xf numFmtId="0" fontId="4" fillId="8" borderId="36" xfId="0" applyFont="1" applyFill="1" applyBorder="1" applyAlignment="1">
      <alignment horizontal="center"/>
    </xf>
    <xf numFmtId="43" fontId="4" fillId="8" borderId="38" xfId="1" applyFont="1" applyFill="1" applyBorder="1"/>
    <xf numFmtId="187" fontId="4" fillId="8" borderId="38" xfId="1" applyNumberFormat="1" applyFont="1" applyFill="1" applyBorder="1"/>
    <xf numFmtId="187" fontId="4" fillId="8" borderId="40" xfId="1" applyNumberFormat="1" applyFont="1" applyFill="1" applyBorder="1"/>
    <xf numFmtId="43" fontId="4" fillId="8" borderId="42" xfId="0" applyNumberFormat="1" applyFont="1" applyFill="1" applyBorder="1"/>
    <xf numFmtId="43" fontId="4" fillId="8" borderId="44" xfId="0" applyNumberFormat="1" applyFont="1" applyFill="1" applyBorder="1"/>
    <xf numFmtId="43" fontId="4" fillId="8" borderId="38" xfId="0" applyNumberFormat="1" applyFont="1" applyFill="1" applyBorder="1"/>
    <xf numFmtId="43" fontId="4" fillId="8" borderId="32" xfId="0" applyNumberFormat="1" applyFont="1" applyFill="1" applyBorder="1"/>
    <xf numFmtId="43" fontId="4" fillId="8" borderId="44" xfId="1" applyFont="1" applyFill="1" applyBorder="1"/>
    <xf numFmtId="43" fontId="4" fillId="8" borderId="48" xfId="1" applyFont="1" applyFill="1" applyBorder="1"/>
    <xf numFmtId="187" fontId="4" fillId="0" borderId="39" xfId="0" applyNumberFormat="1" applyFont="1" applyBorder="1" applyAlignment="1">
      <alignment horizontal="center"/>
    </xf>
    <xf numFmtId="43" fontId="4" fillId="0" borderId="56" xfId="1" applyFont="1" applyBorder="1"/>
    <xf numFmtId="43" fontId="4" fillId="0" borderId="55" xfId="1" applyFont="1" applyBorder="1"/>
    <xf numFmtId="187" fontId="13" fillId="0" borderId="19" xfId="9" applyFont="1" applyFill="1" applyBorder="1" applyAlignment="1">
      <alignment horizontal="left" vertical="center"/>
    </xf>
    <xf numFmtId="187" fontId="13" fillId="3" borderId="19" xfId="9" applyFont="1" applyFill="1" applyBorder="1" applyAlignment="1">
      <alignment horizontal="left" vertical="center"/>
    </xf>
    <xf numFmtId="4" fontId="13" fillId="0" borderId="6" xfId="9" applyNumberFormat="1" applyFont="1" applyFill="1" applyBorder="1" applyAlignment="1">
      <alignment vertical="center"/>
    </xf>
    <xf numFmtId="43" fontId="13" fillId="0" borderId="6" xfId="1" applyFont="1" applyFill="1" applyBorder="1" applyAlignment="1">
      <alignment vertical="center"/>
    </xf>
    <xf numFmtId="187" fontId="29" fillId="0" borderId="0" xfId="8" applyNumberFormat="1" applyFont="1"/>
    <xf numFmtId="0" fontId="22" fillId="0" borderId="0" xfId="8" applyFont="1" applyAlignment="1">
      <alignment horizontal="center"/>
    </xf>
    <xf numFmtId="0" fontId="24" fillId="0" borderId="17" xfId="8" applyFont="1" applyBorder="1" applyAlignment="1">
      <alignment horizontal="center" vertical="center"/>
    </xf>
    <xf numFmtId="0" fontId="23" fillId="0" borderId="0" xfId="8" applyFont="1" applyAlignment="1">
      <alignment horizontal="center" vertical="center"/>
    </xf>
    <xf numFmtId="0" fontId="23" fillId="0" borderId="23" xfId="8" applyFont="1" applyBorder="1" applyAlignment="1">
      <alignment horizontal="center" vertical="center"/>
    </xf>
    <xf numFmtId="0" fontId="23" fillId="0" borderId="24" xfId="8" applyFont="1" applyBorder="1" applyAlignment="1">
      <alignment horizontal="center" vertical="center"/>
    </xf>
    <xf numFmtId="0" fontId="23" fillId="0" borderId="25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0" fontId="4" fillId="6" borderId="54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/>
    </xf>
    <xf numFmtId="0" fontId="4" fillId="4" borderId="50" xfId="0" applyFont="1" applyFill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2" fillId="0" borderId="17" xfId="10" applyFont="1" applyBorder="1" applyAlignment="1">
      <alignment horizontal="center" vertical="center"/>
    </xf>
    <xf numFmtId="0" fontId="12" fillId="0" borderId="0" xfId="10" applyFont="1" applyAlignment="1">
      <alignment horizontal="center" vertical="center"/>
    </xf>
  </cellXfs>
  <cellStyles count="24">
    <cellStyle name="Normal 11" xfId="5" xr:uid="{819B8003-E05E-427D-89F7-121A92E2C115}"/>
    <cellStyle name="Normal 11 2" xfId="18" xr:uid="{1AC3A23F-A3CB-482E-B7BD-1DAF07ED8D74}"/>
    <cellStyle name="Normal 5" xfId="13" xr:uid="{79053654-6D4F-4AB6-AF89-FD781AD56A5B}"/>
    <cellStyle name="Normal 8" xfId="7" xr:uid="{93FB7F07-1984-4249-B5CA-D28AD7D8B9F9}"/>
    <cellStyle name="เครื่องหมายจุลภาค 10" xfId="14" xr:uid="{FEF7EF4A-86C8-49E7-938E-E2D21D96267B}"/>
    <cellStyle name="เครื่องหมายจุลภาค 10 2" xfId="22" xr:uid="{A52A68D2-BB03-494E-907D-34EE142BEA9A}"/>
    <cellStyle name="เครื่องหมายจุลภาค 2" xfId="6" xr:uid="{900A5E01-4B5A-4346-BE02-51E2920ED61D}"/>
    <cellStyle name="เครื่องหมายจุลภาค 2 2" xfId="19" xr:uid="{4B451008-F7C6-4F96-8C3E-7B4895E836B9}"/>
    <cellStyle name="เครื่องหมายจุลภาค 3" xfId="11" xr:uid="{1663E21D-814C-4B20-8FA0-57FFF891579A}"/>
    <cellStyle name="เครื่องหมายจุลภาค 3 2" xfId="21" xr:uid="{DB68213E-4FA3-4378-A4BD-712153C509B2}"/>
    <cellStyle name="จุลภาค" xfId="1" builtinId="3"/>
    <cellStyle name="จุลภาค 2" xfId="3" xr:uid="{7448B0BC-6B9F-4B07-A22B-8FA8E218009E}"/>
    <cellStyle name="จุลภาค 2 2" xfId="16" xr:uid="{B3630E52-87EE-4ED6-B04D-7366B0CD12C9}"/>
    <cellStyle name="จุลภาค 3" xfId="9" xr:uid="{98B33A01-A390-4164-834B-B07A46C2E95B}"/>
    <cellStyle name="จุลภาค 3 2" xfId="20" xr:uid="{CFD4F3F0-95D8-4CD0-A45C-7AC04A24828A}"/>
    <cellStyle name="จุลภาค 4" xfId="15" xr:uid="{08B6C690-43A6-47B0-B0E5-D85222DAE4CB}"/>
    <cellStyle name="ปกติ" xfId="0" builtinId="0"/>
    <cellStyle name="ปกติ 2" xfId="2" xr:uid="{FE8BA2A0-25C3-413D-8BA2-97AC5B397DE1}"/>
    <cellStyle name="ปกติ 2 2" xfId="4" xr:uid="{47278F4D-83AA-482D-853B-77A84890B1A9}"/>
    <cellStyle name="ปกติ 2 2 2" xfId="17" xr:uid="{DA533BCA-ED97-4069-96E0-ECC29FC671CF}"/>
    <cellStyle name="ปกติ 2 3" xfId="12" xr:uid="{41A36C05-56C4-4AFA-A12F-7A7AB7C4C355}"/>
    <cellStyle name="ปกติ 3" xfId="8" xr:uid="{B347DC2F-83E4-4405-8771-029E874DF84E}"/>
    <cellStyle name="ปกติ 3 2" xfId="10" xr:uid="{41962D2F-640F-4A6B-9001-9910F363E8AE}"/>
    <cellStyle name="ปกติ 5 2" xfId="23" xr:uid="{6FE74718-4907-4908-AAFA-5FFA4F85BF8A}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34515483170076"/>
          <c:y val="0.20672857275090586"/>
          <c:w val="0.47032046560309537"/>
          <c:h val="0.7737165228447163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87-4275-B595-EBFCE73806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87-4275-B595-EBFCE73806E3}"/>
              </c:ext>
            </c:extLst>
          </c:dPt>
          <c:cat>
            <c:strRef>
              <c:f>'2.กราฟ'!$P$14:$Q$14</c:f>
              <c:strCache>
                <c:ptCount val="2"/>
                <c:pt idx="0">
                  <c:v>การเบิกจ่าย</c:v>
                </c:pt>
                <c:pt idx="1">
                  <c:v>งบประมาณคงเหลือ</c:v>
                </c:pt>
              </c:strCache>
            </c:strRef>
          </c:cat>
          <c:val>
            <c:numRef>
              <c:f>'2.กราฟ'!$P$15:$Q$15</c:f>
              <c:numCache>
                <c:formatCode>0.00</c:formatCode>
                <c:ptCount val="2"/>
                <c:pt idx="0">
                  <c:v>33.72</c:v>
                </c:pt>
                <c:pt idx="1">
                  <c:v>66.28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87-4275-B595-EBFCE7380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470332897995461"/>
          <c:y val="0.52223890734037393"/>
          <c:w val="0.19189805506933794"/>
          <c:h val="0.17544381833787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91688538932634"/>
          <c:y val="0.11154962772510579"/>
          <c:w val="0.53605511811023621"/>
          <c:h val="0.58346135304515512"/>
        </c:manualLayout>
      </c:layout>
      <c:pieChart>
        <c:varyColors val="1"/>
        <c:ser>
          <c:idx val="0"/>
          <c:order val="0"/>
          <c:spPr>
            <a:solidFill>
              <a:srgbClr val="0070C0"/>
            </a:solidFill>
          </c:spPr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1A3-462D-9564-3FC0EFBDBCE1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1A3-462D-9564-3FC0EFBDBCE1}"/>
              </c:ext>
            </c:extLst>
          </c:dPt>
          <c:cat>
            <c:strRef>
              <c:f>'2.กราฟ'!$R$35:$S$35</c:f>
              <c:strCache>
                <c:ptCount val="2"/>
                <c:pt idx="0">
                  <c:v>การเบิกจ่าย</c:v>
                </c:pt>
                <c:pt idx="1">
                  <c:v>งบประมาณคงเหลือ</c:v>
                </c:pt>
              </c:strCache>
            </c:strRef>
          </c:cat>
          <c:val>
            <c:numRef>
              <c:f>'2.กราฟ'!$R$36:$S$36</c:f>
              <c:numCache>
                <c:formatCode>0.00</c:formatCode>
                <c:ptCount val="2"/>
                <c:pt idx="0">
                  <c:v>15.11863668962317</c:v>
                </c:pt>
                <c:pt idx="1">
                  <c:v>84.881363310376827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A3-462D-9564-3FC0EFBDB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180362366598445"/>
          <c:y val="0.43801929520714672"/>
          <c:w val="0.32012256177228948"/>
          <c:h val="0.15915899927883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39487736446747E-2"/>
          <c:y val="0.19665168137716088"/>
          <c:w val="0.60256099931952956"/>
          <c:h val="0.5916054859473839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EF-436F-8B17-C8FAE21CD6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EF-436F-8B17-C8FAE21CD6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EF-436F-8B17-C8FAE21CD6F6}"/>
              </c:ext>
            </c:extLst>
          </c:dPt>
          <c:cat>
            <c:strRef>
              <c:f>'2.กราฟ'!$R$39:$T$39</c:f>
              <c:strCache>
                <c:ptCount val="3"/>
                <c:pt idx="0">
                  <c:v>ก่อหนี้ผูกพัน</c:v>
                </c:pt>
                <c:pt idx="1">
                  <c:v>ยังไม่ก่อหนี้ผูกพัน</c:v>
                </c:pt>
                <c:pt idx="2">
                  <c:v>คงเหลือหลังก่อหนี้</c:v>
                </c:pt>
              </c:strCache>
            </c:strRef>
          </c:cat>
          <c:val>
            <c:numRef>
              <c:f>'2.กราฟ'!$R$40:$T$40</c:f>
              <c:numCache>
                <c:formatCode>General</c:formatCode>
                <c:ptCount val="3"/>
                <c:pt idx="0" formatCode="0.00">
                  <c:v>92.227901199152058</c:v>
                </c:pt>
                <c:pt idx="1">
                  <c:v>3.68</c:v>
                </c:pt>
                <c:pt idx="2">
                  <c:v>4.09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EF-436F-8B17-C8FAE21C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339427215148324"/>
          <c:y val="0.37916607739672875"/>
          <c:w val="0.37439928153802871"/>
          <c:h val="0.175379187635215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5" r="0.5" t="0.75" header="0.3" footer="0.3"/>
    <c:pageSetup paperSize="9" orientation="landscape" horizontalDpi="300" verticalDpi="3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63501</xdr:rowOff>
    </xdr:from>
    <xdr:to>
      <xdr:col>13</xdr:col>
      <xdr:colOff>592665</xdr:colOff>
      <xdr:row>28</xdr:row>
      <xdr:rowOff>148167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A033EC9E-EE67-4D01-84C1-85E2A4AD4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635000</xdr:colOff>
      <xdr:row>34</xdr:row>
      <xdr:rowOff>343957</xdr:rowOff>
    </xdr:from>
    <xdr:to>
      <xdr:col>13</xdr:col>
      <xdr:colOff>637268</xdr:colOff>
      <xdr:row>58</xdr:row>
      <xdr:rowOff>10584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71DD0856-E558-444B-9BB5-99C754A3F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333376</xdr:rowOff>
    </xdr:from>
    <xdr:to>
      <xdr:col>6</xdr:col>
      <xdr:colOff>625928</xdr:colOff>
      <xdr:row>57</xdr:row>
      <xdr:rowOff>190500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BEB422D4-55F1-44CB-AA2D-F2F7C69E3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431498</xdr:colOff>
      <xdr:row>35</xdr:row>
      <xdr:rowOff>99181</xdr:rowOff>
    </xdr:from>
    <xdr:to>
      <xdr:col>10</xdr:col>
      <xdr:colOff>368903</xdr:colOff>
      <xdr:row>37</xdr:row>
      <xdr:rowOff>84667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39D178C6-D2D2-46AC-B0FC-1D1DBAA9023E}"/>
            </a:ext>
          </a:extLst>
        </xdr:cNvPr>
        <xdr:cNvSpPr txBox="1"/>
      </xdr:nvSpPr>
      <xdr:spPr>
        <a:xfrm>
          <a:off x="5934831" y="7274681"/>
          <a:ext cx="1313239" cy="36648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ผลการเบิกจ่าย</a:t>
          </a:r>
        </a:p>
      </xdr:txBody>
    </xdr:sp>
    <xdr:clientData/>
  </xdr:twoCellAnchor>
  <xdr:twoCellAnchor>
    <xdr:from>
      <xdr:col>4</xdr:col>
      <xdr:colOff>539749</xdr:colOff>
      <xdr:row>35</xdr:row>
      <xdr:rowOff>77560</xdr:rowOff>
    </xdr:from>
    <xdr:to>
      <xdr:col>6</xdr:col>
      <xdr:colOff>275166</xdr:colOff>
      <xdr:row>36</xdr:row>
      <xdr:rowOff>191860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A4E29713-1217-4FC2-BD90-70FAEF3790BE}"/>
            </a:ext>
          </a:extLst>
        </xdr:cNvPr>
        <xdr:cNvSpPr txBox="1"/>
      </xdr:nvSpPr>
      <xdr:spPr>
        <a:xfrm>
          <a:off x="3282949" y="8259535"/>
          <a:ext cx="1107017" cy="3333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ผลการก่อหนี้</a:t>
          </a:r>
        </a:p>
      </xdr:txBody>
    </xdr:sp>
    <xdr:clientData/>
  </xdr:twoCellAnchor>
  <xdr:twoCellAnchor>
    <xdr:from>
      <xdr:col>10</xdr:col>
      <xdr:colOff>546702</xdr:colOff>
      <xdr:row>35</xdr:row>
      <xdr:rowOff>99783</xdr:rowOff>
    </xdr:from>
    <xdr:to>
      <xdr:col>12</xdr:col>
      <xdr:colOff>592666</xdr:colOff>
      <xdr:row>38</xdr:row>
      <xdr:rowOff>179914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6ACAD382-1F7B-47EE-961C-520215376CBE}"/>
            </a:ext>
          </a:extLst>
        </xdr:cNvPr>
        <xdr:cNvSpPr txBox="1"/>
      </xdr:nvSpPr>
      <xdr:spPr>
        <a:xfrm>
          <a:off x="7425869" y="7275283"/>
          <a:ext cx="1421797" cy="65163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14,335,037.75 (</a:t>
          </a:r>
          <a:r>
            <a:rPr lang="en-US" sz="1800" b="1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15.12</a:t>
          </a:r>
          <a:r>
            <a:rPr lang="th-TH" sz="1800" b="1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endParaRPr lang="th-TH" sz="1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662366</xdr:colOff>
      <xdr:row>49</xdr:row>
      <xdr:rowOff>22073</xdr:rowOff>
    </xdr:from>
    <xdr:to>
      <xdr:col>8</xdr:col>
      <xdr:colOff>656167</xdr:colOff>
      <xdr:row>52</xdr:row>
      <xdr:rowOff>158750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8DDF1DFC-CECD-4FBB-B92E-7391C1B1D79D}"/>
            </a:ext>
          </a:extLst>
        </xdr:cNvPr>
        <xdr:cNvSpPr txBox="1"/>
      </xdr:nvSpPr>
      <xdr:spPr>
        <a:xfrm>
          <a:off x="4789866" y="10213823"/>
          <a:ext cx="1369634" cy="70817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80,481,962.25  (</a:t>
          </a:r>
          <a:r>
            <a:rPr lang="en-US" sz="18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84.88</a:t>
          </a:r>
          <a:r>
            <a:rPr lang="th-TH" sz="18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266700</xdr:colOff>
      <xdr:row>36</xdr:row>
      <xdr:rowOff>116417</xdr:rowOff>
    </xdr:from>
    <xdr:to>
      <xdr:col>10</xdr:col>
      <xdr:colOff>550334</xdr:colOff>
      <xdr:row>39</xdr:row>
      <xdr:rowOff>152400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16334C97-8BC3-4891-8C6C-D121A3346F0A}"/>
            </a:ext>
          </a:extLst>
        </xdr:cNvPr>
        <xdr:cNvCxnSpPr/>
      </xdr:nvCxnSpPr>
      <xdr:spPr>
        <a:xfrm flipH="1">
          <a:off x="7124700" y="8517467"/>
          <a:ext cx="283634" cy="69320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45433</xdr:colOff>
      <xdr:row>46</xdr:row>
      <xdr:rowOff>111127</xdr:rowOff>
    </xdr:from>
    <xdr:to>
      <xdr:col>8</xdr:col>
      <xdr:colOff>330200</xdr:colOff>
      <xdr:row>49</xdr:row>
      <xdr:rowOff>11491</xdr:rowOff>
    </xdr:to>
    <xdr:cxnSp macro="">
      <xdr:nvCxnSpPr>
        <xdr:cNvPr id="10" name="ลูกศรเชื่อมต่อแบบตรง 9">
          <a:extLst>
            <a:ext uri="{FF2B5EF4-FFF2-40B4-BE49-F238E27FC236}">
              <a16:creationId xmlns:a16="http://schemas.microsoft.com/office/drawing/2014/main" id="{D998FD6B-023D-4BCC-90D0-2F1D64AF8C9C}"/>
            </a:ext>
          </a:extLst>
        </xdr:cNvPr>
        <xdr:cNvCxnSpPr/>
      </xdr:nvCxnSpPr>
      <xdr:spPr>
        <a:xfrm flipV="1">
          <a:off x="5548766" y="9731377"/>
          <a:ext cx="284767" cy="47186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95250</xdr:colOff>
      <xdr:row>50</xdr:row>
      <xdr:rowOff>123825</xdr:rowOff>
    </xdr:from>
    <xdr:ext cx="184731" cy="262572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587EC8F7-2F1A-49D6-B822-322B7E0F33CF}"/>
            </a:ext>
          </a:extLst>
        </xdr:cNvPr>
        <xdr:cNvSpPr txBox="1"/>
      </xdr:nvSpPr>
      <xdr:spPr>
        <a:xfrm>
          <a:off x="10382250" y="10096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2</xdr:col>
      <xdr:colOff>190197</xdr:colOff>
      <xdr:row>39</xdr:row>
      <xdr:rowOff>138793</xdr:rowOff>
    </xdr:from>
    <xdr:to>
      <xdr:col>2</xdr:col>
      <xdr:colOff>542622</xdr:colOff>
      <xdr:row>40</xdr:row>
      <xdr:rowOff>157843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id="{EBD77D02-AA1F-4C97-9731-6093E5D174F3}"/>
            </a:ext>
          </a:extLst>
        </xdr:cNvPr>
        <xdr:cNvCxnSpPr/>
      </xdr:nvCxnSpPr>
      <xdr:spPr>
        <a:xfrm flipH="1">
          <a:off x="1561797" y="9197068"/>
          <a:ext cx="352425" cy="2381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476250</xdr:colOff>
      <xdr:row>48</xdr:row>
      <xdr:rowOff>169333</xdr:rowOff>
    </xdr:from>
    <xdr:to>
      <xdr:col>1</xdr:col>
      <xdr:colOff>444500</xdr:colOff>
      <xdr:row>52</xdr:row>
      <xdr:rowOff>105834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4625D385-F1DB-4652-A4A2-6F7CA87258C1}"/>
            </a:ext>
          </a:extLst>
        </xdr:cNvPr>
        <xdr:cNvCxnSpPr/>
      </xdr:nvCxnSpPr>
      <xdr:spPr>
        <a:xfrm flipV="1">
          <a:off x="476250" y="10170583"/>
          <a:ext cx="656167" cy="69850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0.20049</cdr:x>
      <cdr:y>0.0363</cdr:y>
    </cdr:from>
    <cdr:to>
      <cdr:x>0.81109</cdr:x>
      <cdr:y>0.19967</cdr:y>
    </cdr:to>
    <cdr:sp macro="" textlink="">
      <cdr:nvSpPr>
        <cdr:cNvPr id="4" name="กล่องข้อความ 3"/>
        <cdr:cNvSpPr txBox="1"/>
      </cdr:nvSpPr>
      <cdr:spPr>
        <a:xfrm xmlns:a="http://schemas.openxmlformats.org/drawingml/2006/main">
          <a:off x="1887008" y="232833"/>
          <a:ext cx="5746750" cy="1047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ผลการเบิกจ่ายภาพรวม                                      </a:t>
          </a:r>
          <a:endParaRPr lang="th-TH" sz="18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 xmlns:a="http://schemas.openxmlformats.org/drawingml/2006/main">
          <a:pPr algn="ctr"/>
          <a:r>
            <a:rPr lang="th-TH" sz="1800" b="1" i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ผลการใช้จ่ายงบประมาณประจำปีงบประมาณ พ.ศ.</a:t>
          </a:r>
          <a:r>
            <a:rPr lang="th-TH" sz="1800" b="1" i="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800" b="1" i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2567</a:t>
          </a:r>
          <a:endParaRPr lang="th-TH" sz="18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 xmlns:a="http://schemas.openxmlformats.org/drawingml/2006/main">
          <a:pPr algn="ctr"/>
          <a:r>
            <a:rPr lang="th-TH" sz="1800" b="1" i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 วันที่</a:t>
          </a:r>
          <a:r>
            <a:rPr lang="th-TH" sz="1800" b="1" i="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800" b="1" i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 ตุลาคม 2567 - 31 มีนาคม 2568)</a:t>
          </a:r>
          <a:endParaRPr lang="th-TH" sz="18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cdr:txBody>
    </cdr:sp>
  </cdr:relSizeAnchor>
  <cdr:relSizeAnchor xmlns:cdr="http://schemas.openxmlformats.org/drawingml/2006/chartDrawing">
    <cdr:from>
      <cdr:x>0.56442</cdr:x>
      <cdr:y>0.78</cdr:y>
    </cdr:from>
    <cdr:to>
      <cdr:x>0.98515</cdr:x>
      <cdr:y>0.92833</cdr:y>
    </cdr:to>
    <cdr:sp macro="" textlink="">
      <cdr:nvSpPr>
        <cdr:cNvPr id="5" name="กล่องข้อความ 4"/>
        <cdr:cNvSpPr txBox="1"/>
      </cdr:nvSpPr>
      <cdr:spPr>
        <a:xfrm xmlns:a="http://schemas.openxmlformats.org/drawingml/2006/main">
          <a:off x="5191009" y="5133431"/>
          <a:ext cx="3869469" cy="976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งบประมาณหลังปรับโอน	</a:t>
          </a:r>
          <a:r>
            <a:rPr lang="en-US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432,537,800</a:t>
          </a:r>
          <a:r>
            <a:rPr lang="th-TH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.00 บาท </a:t>
          </a:r>
          <a:r>
            <a:rPr lang="en-US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              </a:t>
          </a:r>
          <a:r>
            <a:rPr lang="en-US" sz="16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</a:t>
          </a:r>
          <a:r>
            <a:rPr lang="th-TH" sz="16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การเบิกจ่าย	   	1</a:t>
          </a:r>
          <a:r>
            <a:rPr lang="en-US" sz="16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45</a:t>
          </a:r>
          <a:r>
            <a:rPr lang="th-TH" sz="16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</a:t>
          </a:r>
          <a:r>
            <a:rPr lang="en-US" sz="16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831</a:t>
          </a:r>
          <a:r>
            <a:rPr lang="th-TH" sz="16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</a:t>
          </a:r>
          <a:r>
            <a:rPr lang="en-US" sz="16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597</a:t>
          </a:r>
          <a:r>
            <a:rPr lang="th-TH" sz="16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</a:t>
          </a:r>
          <a:r>
            <a:rPr lang="en-US" sz="16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58</a:t>
          </a:r>
          <a:r>
            <a:rPr lang="th-TH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บาท</a:t>
          </a:r>
          <a:r>
            <a:rPr lang="en-US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                                                 </a:t>
          </a:r>
          <a:r>
            <a:rPr lang="th-TH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งบประมาณคงเหลือ	</a:t>
          </a:r>
          <a:r>
            <a:rPr lang="en-US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286</a:t>
          </a:r>
          <a:r>
            <a:rPr lang="th-TH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</a:t>
          </a:r>
          <a:r>
            <a:rPr lang="en-US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706</a:t>
          </a:r>
          <a:r>
            <a:rPr lang="th-TH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</a:t>
          </a:r>
          <a:r>
            <a:rPr lang="en-US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202</a:t>
          </a:r>
          <a:r>
            <a:rPr lang="th-TH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</a:t>
          </a:r>
          <a:r>
            <a:rPr lang="en-US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42</a:t>
          </a:r>
          <a:r>
            <a:rPr lang="th-TH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บาท</a:t>
          </a:r>
          <a:endParaRPr lang="th-TH" sz="1600" b="1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cdr:txBody>
    </cdr:sp>
  </cdr:relSizeAnchor>
  <cdr:relSizeAnchor xmlns:cdr="http://schemas.openxmlformats.org/drawingml/2006/chartDrawing">
    <cdr:from>
      <cdr:x>0.61003</cdr:x>
      <cdr:y>0.38134</cdr:y>
    </cdr:from>
    <cdr:to>
      <cdr:x>0.7754</cdr:x>
      <cdr:y>0.50192</cdr:y>
    </cdr:to>
    <cdr:sp macro="" textlink="">
      <cdr:nvSpPr>
        <cdr:cNvPr id="6" name="กล่องข้อความ 5"/>
        <cdr:cNvSpPr txBox="1"/>
      </cdr:nvSpPr>
      <cdr:spPr>
        <a:xfrm xmlns:a="http://schemas.openxmlformats.org/drawingml/2006/main">
          <a:off x="5741454" y="2106712"/>
          <a:ext cx="1556422" cy="66612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145,831,597.58                                         (33.72)</a:t>
          </a:r>
        </a:p>
      </cdr:txBody>
    </cdr:sp>
  </cdr:relSizeAnchor>
  <cdr:relSizeAnchor xmlns:cdr="http://schemas.openxmlformats.org/drawingml/2006/chartDrawing">
    <cdr:from>
      <cdr:x>0.03186</cdr:x>
      <cdr:y>0.20408</cdr:y>
    </cdr:from>
    <cdr:to>
      <cdr:x>0.17212</cdr:x>
      <cdr:y>0.31418</cdr:y>
    </cdr:to>
    <cdr:sp macro="" textlink="">
      <cdr:nvSpPr>
        <cdr:cNvPr id="7" name="กล่องข้อความ 1"/>
        <cdr:cNvSpPr txBox="1"/>
      </cdr:nvSpPr>
      <cdr:spPr>
        <a:xfrm xmlns:a="http://schemas.openxmlformats.org/drawingml/2006/main">
          <a:off x="299859" y="1127440"/>
          <a:ext cx="1320093" cy="60822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286,710,402.42                                        (66.28)</a:t>
          </a:r>
        </a:p>
      </cdr:txBody>
    </cdr:sp>
  </cdr:relSizeAnchor>
  <cdr:relSizeAnchor xmlns:cdr="http://schemas.openxmlformats.org/drawingml/2006/chartDrawing">
    <cdr:from>
      <cdr:x>0.1454</cdr:x>
      <cdr:y>0.31609</cdr:y>
    </cdr:from>
    <cdr:to>
      <cdr:x>0.19583</cdr:x>
      <cdr:y>0.34175</cdr:y>
    </cdr:to>
    <cdr:cxnSp macro="">
      <cdr:nvCxnSpPr>
        <cdr:cNvPr id="9" name="ลูกศรเชื่อมต่อแบบตรง 8">
          <a:extLst xmlns:a="http://schemas.openxmlformats.org/drawingml/2006/main">
            <a:ext uri="{FF2B5EF4-FFF2-40B4-BE49-F238E27FC236}">
              <a16:creationId xmlns:a16="http://schemas.microsoft.com/office/drawing/2014/main" id="{EC17348A-87B6-FAB3-B204-C7822087E944}"/>
            </a:ext>
          </a:extLst>
        </cdr:cNvPr>
        <cdr:cNvCxnSpPr/>
      </cdr:nvCxnSpPr>
      <cdr:spPr>
        <a:xfrm xmlns:a="http://schemas.openxmlformats.org/drawingml/2006/main">
          <a:off x="1368425" y="1746249"/>
          <a:ext cx="474679" cy="14174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0.53925</cdr:x>
      <cdr:y>0.44163</cdr:y>
    </cdr:from>
    <cdr:to>
      <cdr:x>0.61003</cdr:x>
      <cdr:y>0.46774</cdr:y>
    </cdr:to>
    <cdr:cxnSp macro="">
      <cdr:nvCxnSpPr>
        <cdr:cNvPr id="11" name="ลูกศรเชื่อมต่อแบบตรง 10">
          <a:extLst xmlns:a="http://schemas.openxmlformats.org/drawingml/2006/main">
            <a:ext uri="{FF2B5EF4-FFF2-40B4-BE49-F238E27FC236}">
              <a16:creationId xmlns:a16="http://schemas.microsoft.com/office/drawing/2014/main" id="{B4AD13D4-1AF2-02B2-3832-F55940607D45}"/>
            </a:ext>
          </a:extLst>
        </cdr:cNvPr>
        <cdr:cNvCxnSpPr>
          <a:stCxn xmlns:a="http://schemas.openxmlformats.org/drawingml/2006/main" id="6" idx="1"/>
        </cdr:cNvCxnSpPr>
      </cdr:nvCxnSpPr>
      <cdr:spPr>
        <a:xfrm xmlns:a="http://schemas.openxmlformats.org/drawingml/2006/main" flipH="1">
          <a:off x="5075290" y="2439772"/>
          <a:ext cx="666164" cy="14425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0.27463</cdr:x>
      <cdr:y>0.77016</cdr:y>
    </cdr:from>
    <cdr:to>
      <cdr:x>0.98052</cdr:x>
      <cdr:y>0.94174</cdr:y>
    </cdr:to>
    <cdr:sp macro="" textlink="">
      <cdr:nvSpPr>
        <cdr:cNvPr id="3" name="กล่องข้อความ 1"/>
        <cdr:cNvSpPr txBox="1"/>
      </cdr:nvSpPr>
      <cdr:spPr>
        <a:xfrm xmlns:a="http://schemas.openxmlformats.org/drawingml/2006/main">
          <a:off x="1311035" y="4137210"/>
          <a:ext cx="3369824" cy="921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งบประมาณหลังปรับโอน</a:t>
          </a:r>
          <a:r>
            <a:rPr lang="en-US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94,817,000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.00 บาท </a:t>
          </a:r>
          <a:r>
            <a:rPr lang="en-US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              </a:t>
          </a:r>
          <a:r>
            <a:rPr lang="en-US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</a:t>
          </a:r>
          <a:r>
            <a:rPr lang="th-TH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การเบิกจ่าย   	  </a:t>
          </a:r>
          <a:r>
            <a:rPr lang="en-US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	14,335,037.75</a:t>
          </a:r>
          <a:r>
            <a:rPr lang="th-TH" sz="14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บาท</a:t>
          </a:r>
          <a:r>
            <a:rPr lang="en-US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                                                 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งบประมาณคงเหลือ </a:t>
          </a:r>
          <a:r>
            <a:rPr lang="th-TH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</a:t>
          </a:r>
          <a:r>
            <a:rPr lang="en-US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80,481,962.25 </a:t>
          </a:r>
          <a:r>
            <a:rPr lang="th-TH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บาท</a:t>
          </a:r>
          <a:endParaRPr lang="th-TH" sz="1400" b="1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0.28705</cdr:x>
      <cdr:y>0.76212</cdr:y>
    </cdr:from>
    <cdr:to>
      <cdr:x>1</cdr:x>
      <cdr:y>1</cdr:y>
    </cdr:to>
    <cdr:sp macro="" textlink="">
      <cdr:nvSpPr>
        <cdr:cNvPr id="2" name="กล่องข้อความ 1"/>
        <cdr:cNvSpPr txBox="1"/>
      </cdr:nvSpPr>
      <cdr:spPr>
        <a:xfrm xmlns:a="http://schemas.openxmlformats.org/drawingml/2006/main">
          <a:off x="1360826" y="4065147"/>
          <a:ext cx="3379902" cy="12688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งบประมาณหลังปรับโอน	</a:t>
          </a:r>
          <a:r>
            <a:rPr lang="th-TH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94</a:t>
          </a:r>
          <a:r>
            <a:rPr lang="en-US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</a:t>
          </a:r>
          <a:r>
            <a:rPr lang="th-TH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817</a:t>
          </a:r>
          <a:r>
            <a:rPr lang="en-US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,</a:t>
          </a:r>
          <a:r>
            <a:rPr lang="th-TH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000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.00 บาท </a:t>
          </a:r>
          <a:r>
            <a:rPr lang="en-US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</a:t>
          </a:r>
          <a:r>
            <a:rPr lang="en-US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</a:t>
          </a:r>
          <a:r>
            <a:rPr lang="th-TH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ก่อหนี้ผูกพันแล้ว                           </a:t>
          </a:r>
          <a:r>
            <a:rPr lang="en-US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87,447,729.08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บาท        ยังไม่ก่อหนี้ผูกพัน</a:t>
          </a:r>
          <a:r>
            <a:rPr lang="en-US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	</a:t>
          </a:r>
          <a:r>
            <a:rPr lang="en-US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lang="en-US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3,486,760.00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บาท</a:t>
          </a:r>
          <a:r>
            <a:rPr lang="en-US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                             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งบประมาณคงเหลือหลังก่อหนี้   </a:t>
          </a:r>
          <a:r>
            <a:rPr lang="th-TH" sz="16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   </a:t>
          </a:r>
          <a:r>
            <a:rPr lang="th-TH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en-US" sz="1400" b="1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3,882,510.92 </a:t>
          </a:r>
          <a:r>
            <a:rPr lang="th-TH" sz="1400" b="1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บาท</a:t>
          </a:r>
          <a:endParaRPr lang="th-TH" sz="1600" b="1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cdr:txBody>
    </cdr:sp>
  </cdr:relSizeAnchor>
  <cdr:relSizeAnchor xmlns:cdr="http://schemas.openxmlformats.org/drawingml/2006/chartDrawing">
    <cdr:from>
      <cdr:x>0.03078</cdr:x>
      <cdr:y>0.06087</cdr:y>
    </cdr:from>
    <cdr:to>
      <cdr:x>0.28651</cdr:x>
      <cdr:y>0.19787</cdr:y>
    </cdr:to>
    <cdr:sp macro="" textlink="">
      <cdr:nvSpPr>
        <cdr:cNvPr id="3" name="กล่องข้อความ 10"/>
        <cdr:cNvSpPr txBox="1"/>
      </cdr:nvSpPr>
      <cdr:spPr>
        <a:xfrm xmlns:a="http://schemas.openxmlformats.org/drawingml/2006/main">
          <a:off x="145915" y="324696"/>
          <a:ext cx="1212347" cy="7307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3,486,760.00</a:t>
          </a:r>
        </a:p>
        <a:p xmlns:a="http://schemas.openxmlformats.org/drawingml/2006/main">
          <a:pPr algn="ctr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3.68</a:t>
          </a:r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cdr:txBody>
    </cdr:sp>
  </cdr:relSizeAnchor>
  <cdr:relSizeAnchor xmlns:cdr="http://schemas.openxmlformats.org/drawingml/2006/chartDrawing">
    <cdr:from>
      <cdr:x>0.18019</cdr:x>
      <cdr:y>0.19849</cdr:y>
    </cdr:from>
    <cdr:to>
      <cdr:x>0.25145</cdr:x>
      <cdr:y>0.25801</cdr:y>
    </cdr:to>
    <cdr:cxnSp macro="">
      <cdr:nvCxnSpPr>
        <cdr:cNvPr id="5" name="ลูกศรเชื่อมต่อแบบตรง 4">
          <a:extLst xmlns:a="http://schemas.openxmlformats.org/drawingml/2006/main">
            <a:ext uri="{FF2B5EF4-FFF2-40B4-BE49-F238E27FC236}">
              <a16:creationId xmlns:a16="http://schemas.microsoft.com/office/drawing/2014/main" id="{03FEE829-C7F5-134A-257B-2F2D37B1E41A}"/>
            </a:ext>
          </a:extLst>
        </cdr:cNvPr>
        <cdr:cNvCxnSpPr/>
      </cdr:nvCxnSpPr>
      <cdr:spPr>
        <a:xfrm xmlns:a="http://schemas.openxmlformats.org/drawingml/2006/main">
          <a:off x="854228" y="1058761"/>
          <a:ext cx="337824" cy="31747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0.01114</cdr:x>
      <cdr:y>0.78031</cdr:y>
    </cdr:from>
    <cdr:to>
      <cdr:x>0.27608</cdr:x>
      <cdr:y>0.91</cdr:y>
    </cdr:to>
    <cdr:sp macro="" textlink="">
      <cdr:nvSpPr>
        <cdr:cNvPr id="6" name="กล่องข้อความ 10"/>
        <cdr:cNvSpPr txBox="1"/>
      </cdr:nvSpPr>
      <cdr:spPr>
        <a:xfrm xmlns:a="http://schemas.openxmlformats.org/drawingml/2006/main">
          <a:off x="52938" y="3692258"/>
          <a:ext cx="1259396" cy="61366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87,447,729.08</a:t>
          </a:r>
          <a:endParaRPr lang="en-US" sz="1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 xmlns:a="http://schemas.openxmlformats.org/drawingml/2006/main">
          <a:pPr algn="ctr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92.23</a:t>
          </a:r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cdr:txBody>
    </cdr:sp>
  </cdr:relSizeAnchor>
  <cdr:relSizeAnchor xmlns:cdr="http://schemas.openxmlformats.org/drawingml/2006/chartDrawing">
    <cdr:from>
      <cdr:x>0.40651</cdr:x>
      <cdr:y>0.07357</cdr:y>
    </cdr:from>
    <cdr:to>
      <cdr:x>0.70872</cdr:x>
      <cdr:y>0.20548</cdr:y>
    </cdr:to>
    <cdr:sp macro="" textlink="">
      <cdr:nvSpPr>
        <cdr:cNvPr id="10" name="กล่องข้อความ 10"/>
        <cdr:cNvSpPr txBox="1"/>
      </cdr:nvSpPr>
      <cdr:spPr>
        <a:xfrm xmlns:a="http://schemas.openxmlformats.org/drawingml/2006/main">
          <a:off x="1927175" y="392430"/>
          <a:ext cx="1432695" cy="7036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="1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3,882,510.92</a:t>
          </a:r>
          <a:r>
            <a:rPr lang="th-TH" sz="1800" b="1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</a:t>
          </a:r>
          <a:r>
            <a:rPr lang="en-US" sz="1800" b="1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4.09</a:t>
          </a:r>
          <a:r>
            <a:rPr lang="th-TH" sz="1800" b="1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endParaRPr lang="th-TH" sz="1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cdr:txBody>
    </cdr:sp>
  </cdr:relSizeAnchor>
</c:userShape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3B7E0-6093-47F4-90AF-30A5A59BF9BA}">
  <sheetPr>
    <tabColor theme="6" tint="-0.249977111117893"/>
  </sheetPr>
  <dimension ref="A1:P160"/>
  <sheetViews>
    <sheetView view="pageBreakPreview" topLeftCell="A10" zoomScaleNormal="100" zoomScaleSheetLayoutView="100" workbookViewId="0">
      <selection activeCell="D20" sqref="D20"/>
    </sheetView>
  </sheetViews>
  <sheetFormatPr defaultColWidth="9.140625" defaultRowHeight="27" x14ac:dyDescent="0.6"/>
  <cols>
    <col min="1" max="1" width="9.7109375" style="114" customWidth="1"/>
    <col min="2" max="2" width="18.5703125" style="114" customWidth="1"/>
    <col min="3" max="3" width="18.85546875" style="114" bestFit="1" customWidth="1"/>
    <col min="4" max="4" width="10" style="114" customWidth="1"/>
    <col min="5" max="5" width="20.28515625" style="114" customWidth="1"/>
    <col min="6" max="6" width="19.28515625" style="136" customWidth="1"/>
    <col min="7" max="7" width="8.5703125" style="114" customWidth="1"/>
    <col min="8" max="8" width="15.7109375" style="114" bestFit="1" customWidth="1"/>
    <col min="9" max="9" width="18.85546875" style="114" bestFit="1" customWidth="1"/>
    <col min="10" max="10" width="12.7109375" style="114" bestFit="1" customWidth="1"/>
    <col min="11" max="11" width="9.7109375" style="114" customWidth="1"/>
    <col min="12" max="12" width="17.42578125" style="115" bestFit="1" customWidth="1"/>
    <col min="13" max="16384" width="9.140625" style="114"/>
  </cols>
  <sheetData>
    <row r="1" spans="1:12" x14ac:dyDescent="0.6">
      <c r="B1" s="171" t="s">
        <v>69</v>
      </c>
      <c r="C1" s="171"/>
      <c r="D1" s="171"/>
      <c r="E1" s="171"/>
      <c r="F1" s="171"/>
      <c r="G1" s="171"/>
      <c r="H1" s="171"/>
      <c r="I1" s="171"/>
      <c r="J1" s="171"/>
    </row>
    <row r="2" spans="1:12" s="119" customFormat="1" x14ac:dyDescent="0.6">
      <c r="A2" s="116"/>
      <c r="B2" s="171" t="s">
        <v>73</v>
      </c>
      <c r="C2" s="171"/>
      <c r="D2" s="171"/>
      <c r="E2" s="171"/>
      <c r="F2" s="171"/>
      <c r="G2" s="171"/>
      <c r="H2" s="171"/>
      <c r="I2" s="171"/>
      <c r="J2" s="171"/>
      <c r="K2" s="117"/>
      <c r="L2" s="118"/>
    </row>
    <row r="3" spans="1:12" s="117" customFormat="1" ht="4.5" customHeight="1" x14ac:dyDescent="0.6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21"/>
    </row>
    <row r="4" spans="1:12" x14ac:dyDescent="0.6">
      <c r="B4" s="172" t="s">
        <v>24</v>
      </c>
      <c r="C4" s="172"/>
      <c r="D4" s="172"/>
      <c r="E4" s="172"/>
      <c r="F4" s="172"/>
      <c r="G4" s="172"/>
      <c r="H4" s="172"/>
      <c r="I4" s="172"/>
      <c r="J4" s="172"/>
      <c r="K4" s="122"/>
    </row>
    <row r="5" spans="1:12" ht="21" customHeight="1" x14ac:dyDescent="0.6">
      <c r="B5" s="174" t="s">
        <v>25</v>
      </c>
      <c r="C5" s="175"/>
      <c r="D5" s="175"/>
      <c r="E5" s="175"/>
      <c r="F5" s="175"/>
      <c r="G5" s="175"/>
      <c r="H5" s="175"/>
      <c r="I5" s="175"/>
      <c r="J5" s="176"/>
      <c r="K5" s="119"/>
    </row>
    <row r="6" spans="1:12" s="122" customFormat="1" x14ac:dyDescent="0.5">
      <c r="B6" s="174" t="s">
        <v>26</v>
      </c>
      <c r="C6" s="175"/>
      <c r="D6" s="176"/>
      <c r="E6" s="174" t="s">
        <v>27</v>
      </c>
      <c r="F6" s="175"/>
      <c r="G6" s="176"/>
      <c r="H6" s="174" t="s">
        <v>28</v>
      </c>
      <c r="I6" s="175"/>
      <c r="J6" s="176"/>
      <c r="K6" s="119"/>
      <c r="L6" s="123"/>
    </row>
    <row r="7" spans="1:12" s="120" customFormat="1" ht="18.75" customHeight="1" x14ac:dyDescent="0.5">
      <c r="B7" s="124" t="s">
        <v>10</v>
      </c>
      <c r="C7" s="124" t="s">
        <v>19</v>
      </c>
      <c r="D7" s="124" t="s">
        <v>29</v>
      </c>
      <c r="E7" s="124" t="s">
        <v>10</v>
      </c>
      <c r="F7" s="124" t="s">
        <v>19</v>
      </c>
      <c r="G7" s="124" t="s">
        <v>29</v>
      </c>
      <c r="H7" s="125" t="s">
        <v>10</v>
      </c>
      <c r="I7" s="124" t="s">
        <v>19</v>
      </c>
      <c r="J7" s="124" t="s">
        <v>29</v>
      </c>
      <c r="K7" s="119"/>
      <c r="L7" s="126"/>
    </row>
    <row r="8" spans="1:12" s="120" customFormat="1" x14ac:dyDescent="0.5">
      <c r="B8" s="127">
        <v>432542000</v>
      </c>
      <c r="C8" s="127">
        <v>145831597.58000001</v>
      </c>
      <c r="D8" s="128">
        <f>(C8/B8)*100</f>
        <v>33.715014398601753</v>
      </c>
      <c r="E8" s="129">
        <v>20499997</v>
      </c>
      <c r="F8" s="127">
        <v>17846227</v>
      </c>
      <c r="G8" s="128">
        <f>(F8/E8)*100</f>
        <v>87.054778593382238</v>
      </c>
      <c r="H8" s="130">
        <f>B8+E8</f>
        <v>453041997</v>
      </c>
      <c r="I8" s="129">
        <f>C8+F8</f>
        <v>163677824.58000001</v>
      </c>
      <c r="J8" s="128">
        <f>(I8/H8)*100</f>
        <v>36.12862067178289</v>
      </c>
      <c r="K8" s="118"/>
      <c r="L8" s="131"/>
    </row>
    <row r="9" spans="1:12" s="122" customFormat="1" ht="9" customHeight="1" x14ac:dyDescent="0.6">
      <c r="A9" s="132"/>
      <c r="B9" s="132"/>
      <c r="C9" s="133"/>
      <c r="D9" s="133"/>
      <c r="E9" s="133"/>
      <c r="F9" s="134"/>
      <c r="G9" s="132"/>
      <c r="H9" s="132"/>
      <c r="I9" s="114"/>
      <c r="J9" s="114"/>
      <c r="K9" s="114"/>
      <c r="L9" s="123"/>
    </row>
    <row r="10" spans="1:12" s="120" customFormat="1" x14ac:dyDescent="0.5">
      <c r="B10" s="172" t="s">
        <v>41</v>
      </c>
      <c r="C10" s="172"/>
      <c r="D10" s="172"/>
      <c r="E10" s="172"/>
      <c r="F10" s="172"/>
      <c r="G10" s="172"/>
      <c r="H10" s="172"/>
      <c r="I10" s="172"/>
      <c r="J10" s="172"/>
      <c r="K10" s="122"/>
      <c r="L10" s="126"/>
    </row>
    <row r="11" spans="1:12" s="120" customFormat="1" ht="18.75" customHeight="1" x14ac:dyDescent="0.5">
      <c r="B11" s="174" t="s">
        <v>25</v>
      </c>
      <c r="C11" s="175"/>
      <c r="D11" s="175"/>
      <c r="E11" s="175"/>
      <c r="F11" s="175"/>
      <c r="G11" s="175"/>
      <c r="H11" s="175"/>
      <c r="I11" s="175"/>
      <c r="J11" s="176"/>
      <c r="L11" s="126"/>
    </row>
    <row r="12" spans="1:12" s="120" customFormat="1" x14ac:dyDescent="0.5">
      <c r="B12" s="174" t="s">
        <v>26</v>
      </c>
      <c r="C12" s="175"/>
      <c r="D12" s="176"/>
      <c r="E12" s="174" t="s">
        <v>27</v>
      </c>
      <c r="F12" s="175"/>
      <c r="G12" s="176"/>
      <c r="H12" s="174" t="s">
        <v>28</v>
      </c>
      <c r="I12" s="175"/>
      <c r="J12" s="176"/>
      <c r="L12" s="126"/>
    </row>
    <row r="13" spans="1:12" s="119" customFormat="1" x14ac:dyDescent="0.5">
      <c r="B13" s="124" t="s">
        <v>10</v>
      </c>
      <c r="C13" s="124" t="s">
        <v>20</v>
      </c>
      <c r="D13" s="124" t="s">
        <v>29</v>
      </c>
      <c r="E13" s="124" t="s">
        <v>10</v>
      </c>
      <c r="F13" s="124" t="s">
        <v>20</v>
      </c>
      <c r="G13" s="124" t="s">
        <v>29</v>
      </c>
      <c r="H13" s="125" t="s">
        <v>10</v>
      </c>
      <c r="I13" s="124" t="s">
        <v>20</v>
      </c>
      <c r="J13" s="124" t="s">
        <v>29</v>
      </c>
      <c r="K13" s="120"/>
      <c r="L13" s="118"/>
    </row>
    <row r="14" spans="1:12" x14ac:dyDescent="0.6">
      <c r="B14" s="129">
        <f>5454460+89362540</f>
        <v>94817000</v>
      </c>
      <c r="C14" s="129">
        <v>87447729.079999998</v>
      </c>
      <c r="D14" s="128">
        <f>(C14/B14)*100</f>
        <v>92.227901199152058</v>
      </c>
      <c r="E14" s="129">
        <v>1342000</v>
      </c>
      <c r="F14" s="129">
        <v>1191890</v>
      </c>
      <c r="G14" s="128">
        <f>(F14/E14)*100</f>
        <v>88.814456035767506</v>
      </c>
      <c r="H14" s="130">
        <f>B14+E14</f>
        <v>96159000</v>
      </c>
      <c r="I14" s="129">
        <f>C14-F14</f>
        <v>86255839.079999998</v>
      </c>
      <c r="J14" s="128">
        <f>(I14/H14)*100</f>
        <v>89.701264655414477</v>
      </c>
      <c r="K14" s="116"/>
    </row>
    <row r="15" spans="1:12" ht="8.25" customHeight="1" x14ac:dyDescent="0.6">
      <c r="C15" s="135"/>
      <c r="D15" s="135"/>
    </row>
    <row r="16" spans="1:12" x14ac:dyDescent="0.6">
      <c r="B16" s="172" t="s">
        <v>42</v>
      </c>
      <c r="C16" s="172"/>
      <c r="D16" s="172"/>
      <c r="E16" s="172"/>
      <c r="F16" s="172"/>
      <c r="G16" s="172"/>
      <c r="H16" s="172"/>
      <c r="I16" s="172"/>
      <c r="J16" s="172"/>
      <c r="K16" s="122"/>
    </row>
    <row r="17" spans="2:12" ht="18.75" customHeight="1" x14ac:dyDescent="0.6">
      <c r="B17" s="174" t="s">
        <v>25</v>
      </c>
      <c r="C17" s="175"/>
      <c r="D17" s="175"/>
      <c r="E17" s="175"/>
      <c r="F17" s="175"/>
      <c r="G17" s="175"/>
      <c r="H17" s="175"/>
      <c r="I17" s="175"/>
      <c r="J17" s="176"/>
      <c r="K17" s="120"/>
    </row>
    <row r="18" spans="2:12" x14ac:dyDescent="0.6">
      <c r="B18" s="174" t="s">
        <v>26</v>
      </c>
      <c r="C18" s="175"/>
      <c r="D18" s="176"/>
      <c r="E18" s="174" t="s">
        <v>27</v>
      </c>
      <c r="F18" s="175"/>
      <c r="G18" s="176"/>
      <c r="H18" s="174" t="s">
        <v>28</v>
      </c>
      <c r="I18" s="175"/>
      <c r="J18" s="176"/>
      <c r="K18" s="120"/>
    </row>
    <row r="19" spans="2:12" x14ac:dyDescent="0.6">
      <c r="B19" s="124" t="s">
        <v>10</v>
      </c>
      <c r="C19" s="124" t="s">
        <v>19</v>
      </c>
      <c r="D19" s="124" t="s">
        <v>29</v>
      </c>
      <c r="E19" s="124" t="s">
        <v>10</v>
      </c>
      <c r="F19" s="124" t="s">
        <v>19</v>
      </c>
      <c r="G19" s="124" t="s">
        <v>29</v>
      </c>
      <c r="H19" s="125" t="s">
        <v>10</v>
      </c>
      <c r="I19" s="124" t="s">
        <v>19</v>
      </c>
      <c r="J19" s="124" t="s">
        <v>29</v>
      </c>
      <c r="K19" s="120"/>
    </row>
    <row r="20" spans="2:12" x14ac:dyDescent="0.6">
      <c r="B20" s="129">
        <f>B14</f>
        <v>94817000</v>
      </c>
      <c r="C20" s="129">
        <f>540000+13795037.75</f>
        <v>14335037.75</v>
      </c>
      <c r="D20" s="128">
        <f>(C20/B20)*100</f>
        <v>15.11863668962317</v>
      </c>
      <c r="E20" s="129">
        <v>1342000</v>
      </c>
      <c r="F20" s="129">
        <v>1191890</v>
      </c>
      <c r="G20" s="128">
        <f>(F20/E20)*100</f>
        <v>88.814456035767506</v>
      </c>
      <c r="H20" s="130">
        <f>B20+E20</f>
        <v>96159000</v>
      </c>
      <c r="I20" s="129">
        <f>C20+F20</f>
        <v>15526927.75</v>
      </c>
      <c r="J20" s="128">
        <f>(I20/H20)*100</f>
        <v>16.147139373329587</v>
      </c>
      <c r="K20" s="119"/>
    </row>
    <row r="21" spans="2:12" ht="12.75" customHeight="1" x14ac:dyDescent="0.6">
      <c r="B21" s="116"/>
      <c r="C21" s="116"/>
      <c r="D21" s="137"/>
      <c r="E21" s="116"/>
      <c r="F21" s="116"/>
      <c r="G21" s="137"/>
      <c r="H21" s="138"/>
      <c r="I21" s="116"/>
      <c r="J21" s="137"/>
      <c r="K21" s="119"/>
    </row>
    <row r="22" spans="2:12" s="139" customFormat="1" ht="24" customHeight="1" x14ac:dyDescent="0.5">
      <c r="B22" s="143" t="s">
        <v>43</v>
      </c>
      <c r="F22" s="141"/>
      <c r="L22" s="142"/>
    </row>
    <row r="23" spans="2:12" s="140" customFormat="1" ht="24" customHeight="1" x14ac:dyDescent="0.5">
      <c r="B23" s="140" t="s">
        <v>74</v>
      </c>
      <c r="F23" s="144"/>
      <c r="L23" s="145"/>
    </row>
    <row r="24" spans="2:12" s="140" customFormat="1" ht="24" customHeight="1" x14ac:dyDescent="0.5">
      <c r="F24" s="144"/>
      <c r="L24" s="145"/>
    </row>
    <row r="159" spans="16:16" x14ac:dyDescent="0.6">
      <c r="P159" s="146"/>
    </row>
    <row r="160" spans="16:16" x14ac:dyDescent="0.6">
      <c r="P160" s="146"/>
    </row>
  </sheetData>
  <mergeCells count="18">
    <mergeCell ref="B18:D18"/>
    <mergeCell ref="E18:G18"/>
    <mergeCell ref="H18:J18"/>
    <mergeCell ref="B11:J11"/>
    <mergeCell ref="B12:D12"/>
    <mergeCell ref="E12:G12"/>
    <mergeCell ref="H12:J12"/>
    <mergeCell ref="B16:J16"/>
    <mergeCell ref="B17:J17"/>
    <mergeCell ref="B1:J1"/>
    <mergeCell ref="B10:J10"/>
    <mergeCell ref="B2:J2"/>
    <mergeCell ref="A3:K3"/>
    <mergeCell ref="B4:J4"/>
    <mergeCell ref="B5:J5"/>
    <mergeCell ref="B6:D6"/>
    <mergeCell ref="E6:G6"/>
    <mergeCell ref="H6:J6"/>
  </mergeCells>
  <printOptions horizontalCentered="1"/>
  <pageMargins left="0.11811023622047245" right="0.11811023622047245" top="0.16" bottom="0.11811023622047245" header="0.16" footer="0.16"/>
  <pageSetup paperSize="9" scale="93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1C99-7AA1-4AAB-90C7-CDF41C769197}">
  <sheetPr>
    <tabColor theme="6" tint="-0.249977111117893"/>
  </sheetPr>
  <dimension ref="A6:U47"/>
  <sheetViews>
    <sheetView view="pageBreakPreview" topLeftCell="A16" zoomScale="90" zoomScaleNormal="100" zoomScaleSheetLayoutView="90" workbookViewId="0">
      <selection activeCell="G62" sqref="G62"/>
    </sheetView>
  </sheetViews>
  <sheetFormatPr defaultColWidth="9.140625" defaultRowHeight="17.25" x14ac:dyDescent="0.4"/>
  <cols>
    <col min="1" max="14" width="10.28515625" style="3" customWidth="1"/>
    <col min="15" max="16" width="9.140625" style="3"/>
    <col min="17" max="17" width="19.28515625" style="3" customWidth="1"/>
    <col min="18" max="18" width="11" style="3" customWidth="1"/>
    <col min="19" max="19" width="9.140625" style="3"/>
    <col min="20" max="20" width="15.42578125" style="3" customWidth="1"/>
    <col min="21" max="16384" width="9.140625" style="3"/>
  </cols>
  <sheetData>
    <row r="6" spans="2:19" ht="21.75" x14ac:dyDescent="0.5">
      <c r="P6" s="3" t="s">
        <v>62</v>
      </c>
      <c r="Q6" s="95">
        <v>432537800</v>
      </c>
      <c r="S6" s="3">
        <v>100</v>
      </c>
    </row>
    <row r="7" spans="2:19" ht="21.75" x14ac:dyDescent="0.5">
      <c r="P7" s="3" t="s">
        <v>19</v>
      </c>
      <c r="Q7" s="95">
        <v>145831597.58000001</v>
      </c>
      <c r="R7" s="97">
        <f>Q7*100/Q6</f>
        <v>33.715341775909529</v>
      </c>
      <c r="S7" s="97">
        <f>Q7*100/Q6</f>
        <v>33.715341775909529</v>
      </c>
    </row>
    <row r="8" spans="2:19" x14ac:dyDescent="0.4">
      <c r="P8" s="3" t="s">
        <v>63</v>
      </c>
      <c r="Q8" s="96">
        <f>SUM(Q6-Q7)</f>
        <v>286706202.41999996</v>
      </c>
      <c r="S8" s="3">
        <f>S6-S7</f>
        <v>66.284658224090464</v>
      </c>
    </row>
    <row r="11" spans="2:19" x14ac:dyDescent="0.4">
      <c r="B11" s="3" t="s">
        <v>25</v>
      </c>
    </row>
    <row r="13" spans="2:19" x14ac:dyDescent="0.4">
      <c r="F13" s="3">
        <f>F43+F71+F100+F129+F158+F187+F216+F245+F274+F303</f>
        <v>0</v>
      </c>
    </row>
    <row r="14" spans="2:19" x14ac:dyDescent="0.4">
      <c r="P14" s="3" t="s">
        <v>53</v>
      </c>
      <c r="Q14" s="3" t="s">
        <v>18</v>
      </c>
    </row>
    <row r="15" spans="2:19" x14ac:dyDescent="0.4">
      <c r="O15" s="3">
        <v>100</v>
      </c>
      <c r="P15" s="97">
        <v>33.72</v>
      </c>
      <c r="Q15" s="97">
        <f>SUM(O15-P15)</f>
        <v>66.28</v>
      </c>
    </row>
    <row r="33" spans="1:21" ht="27.75" x14ac:dyDescent="0.65">
      <c r="A33" s="177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Q33" s="129">
        <f>'1.สรุป(ต.ค.66-มี.ค.67)'!B14</f>
        <v>94817000</v>
      </c>
    </row>
    <row r="34" spans="1:21" ht="27.75" x14ac:dyDescent="0.65">
      <c r="A34" s="98"/>
      <c r="B34" s="98"/>
      <c r="C34" s="177" t="s">
        <v>66</v>
      </c>
      <c r="D34" s="177"/>
      <c r="E34" s="177"/>
      <c r="F34" s="177"/>
      <c r="G34" s="177"/>
      <c r="H34" s="177"/>
      <c r="I34" s="177"/>
      <c r="J34" s="177"/>
      <c r="K34" s="177"/>
      <c r="L34" s="98"/>
      <c r="M34" s="98"/>
      <c r="Q34" s="129">
        <f>'1.สรุป(ต.ค.66-มี.ค.67)'!C14</f>
        <v>87447729.079999998</v>
      </c>
    </row>
    <row r="35" spans="1:21" ht="27.75" x14ac:dyDescent="0.65">
      <c r="A35" s="98"/>
      <c r="B35" s="98"/>
      <c r="C35" s="177" t="s">
        <v>75</v>
      </c>
      <c r="D35" s="177"/>
      <c r="E35" s="177"/>
      <c r="F35" s="177"/>
      <c r="G35" s="177"/>
      <c r="H35" s="177"/>
      <c r="I35" s="177"/>
      <c r="J35" s="177"/>
      <c r="K35" s="177"/>
      <c r="L35" s="98"/>
      <c r="M35" s="98"/>
      <c r="Q35" s="96">
        <f>SUM(Q33-Q34)</f>
        <v>7369270.9200000018</v>
      </c>
      <c r="R35" s="3" t="s">
        <v>53</v>
      </c>
      <c r="S35" s="3" t="s">
        <v>18</v>
      </c>
    </row>
    <row r="36" spans="1:21" x14ac:dyDescent="0.4">
      <c r="Q36" s="3">
        <v>100</v>
      </c>
      <c r="R36" s="97">
        <f>'1.สรุป(ต.ค.66-มี.ค.67)'!D20</f>
        <v>15.11863668962317</v>
      </c>
      <c r="S36" s="97">
        <f>SUM(Q36-R36)</f>
        <v>84.881363310376827</v>
      </c>
    </row>
    <row r="38" spans="1:21" x14ac:dyDescent="0.4">
      <c r="R38" s="3" t="s">
        <v>39</v>
      </c>
    </row>
    <row r="39" spans="1:21" x14ac:dyDescent="0.4">
      <c r="R39" s="3" t="s">
        <v>39</v>
      </c>
      <c r="S39" s="3" t="s">
        <v>51</v>
      </c>
      <c r="T39" s="3" t="s">
        <v>52</v>
      </c>
    </row>
    <row r="40" spans="1:21" x14ac:dyDescent="0.4">
      <c r="R40" s="97">
        <f>'1.สรุป(ต.ค.66-มี.ค.67)'!D14</f>
        <v>92.227901199152058</v>
      </c>
      <c r="S40" s="3">
        <v>3.68</v>
      </c>
      <c r="T40" s="3">
        <v>4.09</v>
      </c>
      <c r="U40" s="97">
        <f>SUM(R40:T40)</f>
        <v>99.997901199152068</v>
      </c>
    </row>
    <row r="42" spans="1:21" ht="27" x14ac:dyDescent="0.4">
      <c r="P42" s="3" t="s">
        <v>21</v>
      </c>
      <c r="Q42" s="129">
        <v>94817000</v>
      </c>
    </row>
    <row r="43" spans="1:21" ht="27" x14ac:dyDescent="0.4">
      <c r="P43" s="3" t="s">
        <v>20</v>
      </c>
      <c r="Q43" s="129">
        <v>87447729.079999998</v>
      </c>
      <c r="R43" s="97">
        <f>SUM(Q43*100/Q42)</f>
        <v>92.227901199152058</v>
      </c>
    </row>
    <row r="44" spans="1:21" x14ac:dyDescent="0.4">
      <c r="P44" s="3" t="s">
        <v>64</v>
      </c>
      <c r="Q44" s="170">
        <v>3486760</v>
      </c>
      <c r="R44" s="97">
        <f>SUM(Q44*100/Q42)</f>
        <v>3.6773574359028443</v>
      </c>
    </row>
    <row r="45" spans="1:21" ht="21.75" x14ac:dyDescent="0.5">
      <c r="P45" s="3" t="s">
        <v>40</v>
      </c>
      <c r="Q45" s="95">
        <f>Q42-(Q43+Q44)</f>
        <v>3882510.9200000018</v>
      </c>
      <c r="R45" s="97">
        <f>SUM(Q45*100/Q42)</f>
        <v>4.094741364945107</v>
      </c>
    </row>
    <row r="46" spans="1:21" x14ac:dyDescent="0.4">
      <c r="Q46" s="96">
        <f>SUM(Q43:Q45)</f>
        <v>94817000</v>
      </c>
      <c r="R46" s="97">
        <f>SUM(R43:R45)</f>
        <v>100.00000000000001</v>
      </c>
    </row>
    <row r="47" spans="1:21" x14ac:dyDescent="0.4">
      <c r="P47" s="3" t="s">
        <v>65</v>
      </c>
      <c r="Q47" s="4">
        <f>SUM(Q42-Q46)</f>
        <v>0</v>
      </c>
      <c r="R47" s="97"/>
    </row>
  </sheetData>
  <mergeCells count="3">
    <mergeCell ref="A33:M33"/>
    <mergeCell ref="C34:K34"/>
    <mergeCell ref="C35:K35"/>
  </mergeCells>
  <pageMargins left="0.66" right="0.49" top="0.74803149606299213" bottom="0.74803149606299213" header="0.31496062992125984" footer="0.31496062992125984"/>
  <pageSetup paperSize="9" scale="99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4F03-DE82-4BEA-9A45-431E8F63C8C4}">
  <sheetPr>
    <tabColor theme="6" tint="-0.249977111117893"/>
  </sheetPr>
  <dimension ref="A1:P23"/>
  <sheetViews>
    <sheetView view="pageBreakPreview" topLeftCell="I1" zoomScale="90" zoomScaleNormal="100" zoomScaleSheetLayoutView="90" workbookViewId="0">
      <selection activeCell="L13" sqref="L13"/>
    </sheetView>
  </sheetViews>
  <sheetFormatPr defaultColWidth="9.140625" defaultRowHeight="24" x14ac:dyDescent="0.55000000000000004"/>
  <cols>
    <col min="1" max="1" width="22.42578125" style="2" customWidth="1"/>
    <col min="2" max="4" width="17.7109375" style="2" customWidth="1"/>
    <col min="5" max="5" width="17.7109375" style="2" hidden="1" customWidth="1"/>
    <col min="6" max="6" width="17.7109375" style="2" customWidth="1"/>
    <col min="7" max="7" width="17.7109375" style="2" hidden="1" customWidth="1"/>
    <col min="8" max="9" width="17.7109375" style="2" customWidth="1"/>
    <col min="10" max="10" width="17.7109375" style="2" hidden="1" customWidth="1"/>
    <col min="11" max="13" width="17.7109375" style="2" customWidth="1"/>
    <col min="14" max="15" width="9.140625" style="2"/>
    <col min="16" max="16" width="13.85546875" style="2" customWidth="1"/>
    <col min="17" max="16384" width="9.140625" style="2"/>
  </cols>
  <sheetData>
    <row r="1" spans="1:16" x14ac:dyDescent="0.55000000000000004">
      <c r="A1" s="178" t="s">
        <v>67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6" x14ac:dyDescent="0.55000000000000004">
      <c r="A2" s="179" t="s">
        <v>78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4" spans="1:16" s="1" customFormat="1" x14ac:dyDescent="0.55000000000000004">
      <c r="A4" s="190"/>
      <c r="B4" s="25" t="s">
        <v>0</v>
      </c>
      <c r="C4" s="182" t="s">
        <v>1</v>
      </c>
      <c r="D4" s="151" t="s">
        <v>2</v>
      </c>
      <c r="E4" s="77"/>
      <c r="F4" s="180" t="s">
        <v>3</v>
      </c>
      <c r="G4" s="152"/>
      <c r="H4" s="188" t="s">
        <v>48</v>
      </c>
      <c r="I4" s="189"/>
      <c r="J4" s="77"/>
      <c r="K4" s="184" t="s">
        <v>4</v>
      </c>
      <c r="L4" s="186" t="s">
        <v>5</v>
      </c>
      <c r="M4" s="184" t="s">
        <v>70</v>
      </c>
    </row>
    <row r="5" spans="1:16" s="1" customFormat="1" x14ac:dyDescent="0.55000000000000004">
      <c r="A5" s="191"/>
      <c r="B5" s="26" t="s">
        <v>7</v>
      </c>
      <c r="C5" s="183"/>
      <c r="D5" s="27" t="s">
        <v>8</v>
      </c>
      <c r="E5" s="71"/>
      <c r="F5" s="181"/>
      <c r="G5" s="75"/>
      <c r="H5" s="49" t="s">
        <v>49</v>
      </c>
      <c r="I5" s="27" t="s">
        <v>9</v>
      </c>
      <c r="J5" s="71"/>
      <c r="K5" s="185"/>
      <c r="L5" s="187"/>
      <c r="M5" s="185"/>
    </row>
    <row r="6" spans="1:16" s="1" customFormat="1" ht="24.95" customHeight="1" x14ac:dyDescent="0.55000000000000004">
      <c r="A6" s="67" t="s">
        <v>10</v>
      </c>
      <c r="B6" s="28"/>
      <c r="C6" s="17"/>
      <c r="D6" s="153"/>
      <c r="E6" s="147"/>
      <c r="F6" s="29"/>
      <c r="G6" s="72"/>
      <c r="H6" s="28"/>
      <c r="I6" s="29"/>
      <c r="J6" s="72"/>
      <c r="K6" s="54"/>
      <c r="L6" s="54"/>
      <c r="M6" s="54"/>
    </row>
    <row r="7" spans="1:16" ht="21" customHeight="1" x14ac:dyDescent="0.55000000000000004">
      <c r="A7" s="68" t="s">
        <v>11</v>
      </c>
      <c r="B7" s="30">
        <v>129384500</v>
      </c>
      <c r="C7" s="18">
        <v>36766900</v>
      </c>
      <c r="D7" s="154">
        <v>113227900</v>
      </c>
      <c r="E7" s="148"/>
      <c r="F7" s="31">
        <v>9572600</v>
      </c>
      <c r="G7" s="73"/>
      <c r="H7" s="50">
        <v>3490000</v>
      </c>
      <c r="I7" s="38">
        <v>91827000</v>
      </c>
      <c r="J7" s="78"/>
      <c r="K7" s="55">
        <v>25212000</v>
      </c>
      <c r="L7" s="63">
        <v>10247300</v>
      </c>
      <c r="M7" s="63">
        <f>+B7+C7+D7+F7+H7+I7+K7+L7</f>
        <v>419728200</v>
      </c>
      <c r="P7" s="8"/>
    </row>
    <row r="8" spans="1:16" ht="21" customHeight="1" x14ac:dyDescent="0.55000000000000004">
      <c r="A8" s="68" t="s">
        <v>13</v>
      </c>
      <c r="B8" s="32">
        <v>18000</v>
      </c>
      <c r="C8" s="19">
        <v>294500</v>
      </c>
      <c r="D8" s="155">
        <v>129400</v>
      </c>
      <c r="E8" s="148">
        <f>SUM(B8:D8)</f>
        <v>441900</v>
      </c>
      <c r="F8" s="45">
        <v>0</v>
      </c>
      <c r="G8" s="73">
        <f>SUM(F8:F8)</f>
        <v>0</v>
      </c>
      <c r="H8" s="45">
        <v>2127560</v>
      </c>
      <c r="I8" s="45">
        <v>0</v>
      </c>
      <c r="J8" s="78">
        <f t="shared" ref="J8:J14" si="0">SUM(H8:I8)</f>
        <v>2127560</v>
      </c>
      <c r="K8" s="56">
        <v>0</v>
      </c>
      <c r="L8" s="64">
        <v>12813800</v>
      </c>
      <c r="M8" s="63">
        <f>+B8+C8+D8+F8+H8+I8+K8+L8</f>
        <v>15383260</v>
      </c>
      <c r="P8" s="9"/>
    </row>
    <row r="9" spans="1:16" ht="21" customHeight="1" x14ac:dyDescent="0.55000000000000004">
      <c r="A9" s="68" t="s">
        <v>12</v>
      </c>
      <c r="B9" s="33">
        <v>-359100</v>
      </c>
      <c r="C9" s="20">
        <v>0</v>
      </c>
      <c r="D9" s="156">
        <v>-82800</v>
      </c>
      <c r="E9" s="148">
        <f t="shared" ref="E9" si="1">SUM(B9:D9)</f>
        <v>-441900</v>
      </c>
      <c r="F9" s="46">
        <v>0</v>
      </c>
      <c r="G9" s="73">
        <f>SUM(F9:F9)</f>
        <v>0</v>
      </c>
      <c r="H9" s="163">
        <v>0</v>
      </c>
      <c r="I9" s="163">
        <v>-2127560</v>
      </c>
      <c r="J9" s="78">
        <f t="shared" si="0"/>
        <v>-2127560</v>
      </c>
      <c r="K9" s="57">
        <v>0</v>
      </c>
      <c r="L9" s="65">
        <v>0</v>
      </c>
      <c r="M9" s="165">
        <f>+B9+C9+D9+F9+H9+I9+K9+L9</f>
        <v>-2569460</v>
      </c>
      <c r="P9" s="10"/>
    </row>
    <row r="10" spans="1:16" ht="21" customHeight="1" thickBot="1" x14ac:dyDescent="0.6">
      <c r="A10" s="68" t="s">
        <v>14</v>
      </c>
      <c r="B10" s="21">
        <f>SUM(B7:B9)</f>
        <v>129043400</v>
      </c>
      <c r="C10" s="21">
        <f>SUM(C7:C9)</f>
        <v>37061400</v>
      </c>
      <c r="D10" s="21">
        <f>SUM(D7:D9)</f>
        <v>113274500</v>
      </c>
      <c r="E10" s="21">
        <f t="shared" ref="E10:J10" si="2">SUM(E7:E9)</f>
        <v>0</v>
      </c>
      <c r="F10" s="21">
        <f>SUM(F7:F9)</f>
        <v>9572600</v>
      </c>
      <c r="G10" s="21">
        <f t="shared" si="2"/>
        <v>0</v>
      </c>
      <c r="H10" s="21">
        <f>SUM(H7:H9)</f>
        <v>5617560</v>
      </c>
      <c r="I10" s="21">
        <f>SUM(I7:I9)</f>
        <v>89699440</v>
      </c>
      <c r="J10" s="21">
        <f t="shared" si="2"/>
        <v>0</v>
      </c>
      <c r="K10" s="21">
        <f>SUM(K7:K9)</f>
        <v>25212000</v>
      </c>
      <c r="L10" s="21">
        <f>SUM(L7:L9)</f>
        <v>23061100</v>
      </c>
      <c r="M10" s="164">
        <f>+B10+C10+D10+F10+H10+I10+K10+L10</f>
        <v>432542000</v>
      </c>
      <c r="P10" s="9"/>
    </row>
    <row r="11" spans="1:16" ht="21" customHeight="1" thickTop="1" x14ac:dyDescent="0.55000000000000004">
      <c r="A11" s="69" t="s">
        <v>15</v>
      </c>
      <c r="B11" s="36"/>
      <c r="C11" s="22"/>
      <c r="D11" s="158"/>
      <c r="E11" s="148">
        <f t="shared" ref="E11:E12" si="3">SUM(B11:D11)</f>
        <v>0</v>
      </c>
      <c r="F11" s="37"/>
      <c r="G11" s="73">
        <f>SUM(F11:F11)</f>
        <v>0</v>
      </c>
      <c r="H11" s="36"/>
      <c r="I11" s="37"/>
      <c r="J11" s="78">
        <f t="shared" si="0"/>
        <v>0</v>
      </c>
      <c r="K11" s="59"/>
      <c r="L11" s="59"/>
      <c r="M11" s="61"/>
      <c r="P11" s="9"/>
    </row>
    <row r="12" spans="1:16" ht="21" customHeight="1" x14ac:dyDescent="0.55000000000000004">
      <c r="A12" s="68" t="s">
        <v>16</v>
      </c>
      <c r="B12" s="100">
        <v>59116927.289999999</v>
      </c>
      <c r="C12" s="101">
        <v>18527106.57</v>
      </c>
      <c r="D12" s="159">
        <v>35951719.270000003</v>
      </c>
      <c r="E12" s="148">
        <f t="shared" si="3"/>
        <v>113595753.13</v>
      </c>
      <c r="F12" s="38">
        <v>4932591.6399999997</v>
      </c>
      <c r="G12" s="102">
        <f>SUM(F12:F12)</f>
        <v>4932591.6399999997</v>
      </c>
      <c r="H12" s="100">
        <v>540000</v>
      </c>
      <c r="I12" s="38">
        <v>13795037.75</v>
      </c>
      <c r="J12" s="103">
        <f t="shared" si="0"/>
        <v>14335037.75</v>
      </c>
      <c r="K12" s="55">
        <v>7886052</v>
      </c>
      <c r="L12" s="55">
        <v>5082163.0599999996</v>
      </c>
      <c r="M12" s="63">
        <f>+B12+C12+D12+F12+H12+I12+K12+L12</f>
        <v>145831597.57999998</v>
      </c>
      <c r="P12" s="11"/>
    </row>
    <row r="13" spans="1:16" ht="21" customHeight="1" x14ac:dyDescent="0.55000000000000004">
      <c r="A13" s="68" t="s">
        <v>17</v>
      </c>
      <c r="B13" s="39">
        <f>SUM(B12/B10*100)</f>
        <v>45.811662812666128</v>
      </c>
      <c r="C13" s="23">
        <f t="shared" ref="C13:L13" si="4">SUM(C12/C10*100)</f>
        <v>49.990304116951876</v>
      </c>
      <c r="D13" s="160">
        <f t="shared" si="4"/>
        <v>31.7385812958786</v>
      </c>
      <c r="E13" s="149" t="e">
        <f>SUM(E12/E10*100)</f>
        <v>#DIV/0!</v>
      </c>
      <c r="F13" s="40">
        <f t="shared" si="4"/>
        <v>51.528233081921314</v>
      </c>
      <c r="G13" s="74" t="e">
        <f t="shared" si="4"/>
        <v>#DIV/0!</v>
      </c>
      <c r="H13" s="39">
        <f t="shared" si="4"/>
        <v>9.6127144169354661</v>
      </c>
      <c r="I13" s="79">
        <f t="shared" si="4"/>
        <v>15.3791793460472</v>
      </c>
      <c r="J13" s="78">
        <f t="shared" si="0"/>
        <v>24.991893762982667</v>
      </c>
      <c r="K13" s="60">
        <f t="shared" si="4"/>
        <v>31.278962398857686</v>
      </c>
      <c r="L13" s="60">
        <f t="shared" si="4"/>
        <v>22.037817189986601</v>
      </c>
      <c r="M13" s="60">
        <f>SUM(M12/M10*100)</f>
        <v>33.715014398601753</v>
      </c>
      <c r="P13" s="12"/>
    </row>
    <row r="14" spans="1:16" ht="21" customHeight="1" thickBot="1" x14ac:dyDescent="0.6">
      <c r="A14" s="68" t="s">
        <v>18</v>
      </c>
      <c r="B14" s="34">
        <f>SUM(B10-B12)</f>
        <v>69926472.710000008</v>
      </c>
      <c r="C14" s="21">
        <f t="shared" ref="C14:L14" si="5">SUM(C10-C12)</f>
        <v>18534293.43</v>
      </c>
      <c r="D14" s="157">
        <f>SUM(D10-D12)</f>
        <v>77322780.729999989</v>
      </c>
      <c r="E14" s="148">
        <f>SUM(B14:D14)</f>
        <v>165783546.87</v>
      </c>
      <c r="F14" s="35">
        <f t="shared" si="5"/>
        <v>4640008.3600000003</v>
      </c>
      <c r="G14" s="73">
        <f>SUM(F14:F14)</f>
        <v>4640008.3600000003</v>
      </c>
      <c r="H14" s="34">
        <f t="shared" si="5"/>
        <v>5077560</v>
      </c>
      <c r="I14" s="35">
        <f t="shared" si="5"/>
        <v>75904402.25</v>
      </c>
      <c r="J14" s="78">
        <f t="shared" si="0"/>
        <v>80981962.25</v>
      </c>
      <c r="K14" s="58">
        <f t="shared" si="5"/>
        <v>17325948</v>
      </c>
      <c r="L14" s="58">
        <f t="shared" si="5"/>
        <v>17978936.940000001</v>
      </c>
      <c r="M14" s="99">
        <f>+B14+C14+D14+F14+H14+I14+K14+L14</f>
        <v>286710402.42000002</v>
      </c>
      <c r="P14" s="12"/>
    </row>
    <row r="15" spans="1:16" ht="21" customHeight="1" thickTop="1" x14ac:dyDescent="0.55000000000000004">
      <c r="A15" s="68" t="s">
        <v>17</v>
      </c>
      <c r="B15" s="41">
        <f t="shared" ref="B15:L15" si="6">SUM(B14/B10*100)</f>
        <v>54.188337187333879</v>
      </c>
      <c r="C15" s="24">
        <f t="shared" si="6"/>
        <v>50.009695883048131</v>
      </c>
      <c r="D15" s="161">
        <f t="shared" si="6"/>
        <v>68.261418704121397</v>
      </c>
      <c r="E15" s="48" t="e">
        <f t="shared" si="6"/>
        <v>#DIV/0!</v>
      </c>
      <c r="F15" s="42">
        <f t="shared" si="6"/>
        <v>48.471766918078686</v>
      </c>
      <c r="G15" s="48" t="e">
        <f t="shared" si="6"/>
        <v>#DIV/0!</v>
      </c>
      <c r="H15" s="51">
        <f>SUM(H14/H10*100)</f>
        <v>90.387285583064539</v>
      </c>
      <c r="I15" s="52">
        <f>SUM(I14/I10*100)</f>
        <v>84.620820653952805</v>
      </c>
      <c r="J15" s="48" t="e">
        <f t="shared" si="6"/>
        <v>#DIV/0!</v>
      </c>
      <c r="K15" s="61">
        <f t="shared" si="6"/>
        <v>68.721037601142314</v>
      </c>
      <c r="L15" s="61">
        <f t="shared" si="6"/>
        <v>77.962182810013402</v>
      </c>
      <c r="M15" s="61">
        <f>SUM(M14/M10*100)</f>
        <v>66.284985601398247</v>
      </c>
      <c r="P15" s="12"/>
    </row>
    <row r="16" spans="1:16" ht="24.75" thickBot="1" x14ac:dyDescent="0.6">
      <c r="A16" s="70"/>
      <c r="B16" s="43"/>
      <c r="C16" s="44"/>
      <c r="D16" s="162"/>
      <c r="E16" s="150"/>
      <c r="F16" s="47"/>
      <c r="G16" s="76"/>
      <c r="H16" s="53"/>
      <c r="I16" s="47"/>
      <c r="J16" s="76"/>
      <c r="K16" s="62"/>
      <c r="L16" s="62"/>
      <c r="M16" s="66"/>
    </row>
    <row r="17" spans="1:13" x14ac:dyDescent="0.55000000000000004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x14ac:dyDescent="0.55000000000000004">
      <c r="A18" s="13"/>
      <c r="B18" s="15" t="s">
        <v>45</v>
      </c>
      <c r="C18" s="14"/>
      <c r="D18" s="14"/>
      <c r="E18" s="14"/>
      <c r="F18" s="16"/>
      <c r="G18" s="16"/>
      <c r="H18" s="16"/>
      <c r="L18" s="14"/>
    </row>
    <row r="19" spans="1:13" x14ac:dyDescent="0.55000000000000004">
      <c r="A19" s="13"/>
      <c r="B19" s="5" t="s">
        <v>46</v>
      </c>
      <c r="C19" s="14"/>
      <c r="D19" s="14"/>
      <c r="E19" s="14"/>
      <c r="F19" s="14"/>
      <c r="G19" s="14"/>
      <c r="H19" s="14"/>
      <c r="L19" s="14"/>
    </row>
    <row r="20" spans="1:13" x14ac:dyDescent="0.55000000000000004">
      <c r="A20" s="13"/>
      <c r="B20" s="5" t="s">
        <v>76</v>
      </c>
      <c r="C20" s="14"/>
      <c r="D20" s="14"/>
      <c r="F20" s="14"/>
      <c r="G20" s="14"/>
      <c r="H20" s="14"/>
      <c r="L20" s="14"/>
    </row>
    <row r="21" spans="1:13" x14ac:dyDescent="0.55000000000000004">
      <c r="A21" s="13"/>
      <c r="B21" s="5" t="s">
        <v>77</v>
      </c>
      <c r="F21" s="14"/>
      <c r="G21" s="14"/>
      <c r="H21" s="14"/>
      <c r="L21" s="14"/>
    </row>
    <row r="22" spans="1:13" x14ac:dyDescent="0.55000000000000004">
      <c r="A22" s="13"/>
      <c r="B22" s="5" t="s">
        <v>44</v>
      </c>
      <c r="F22" s="14"/>
      <c r="G22" s="14"/>
      <c r="H22" s="14"/>
      <c r="L22" s="14"/>
    </row>
    <row r="23" spans="1:13" x14ac:dyDescent="0.55000000000000004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</sheetData>
  <mergeCells count="9">
    <mergeCell ref="A1:M1"/>
    <mergeCell ref="A2:M2"/>
    <mergeCell ref="F4:F5"/>
    <mergeCell ref="C4:C5"/>
    <mergeCell ref="K4:K5"/>
    <mergeCell ref="L4:L5"/>
    <mergeCell ref="H4:I4"/>
    <mergeCell ref="A4:A5"/>
    <mergeCell ref="M4:M5"/>
  </mergeCells>
  <pageMargins left="0.33" right="0.25" top="0.59055118110236227" bottom="0.59055118110236227" header="0.51181102362204722" footer="0.51181102362204722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B0CB3-E786-4925-AEE9-D2B645E80F15}">
  <sheetPr>
    <tabColor theme="6" tint="-0.249977111117893"/>
  </sheetPr>
  <dimension ref="A1:K299"/>
  <sheetViews>
    <sheetView tabSelected="1" view="pageBreakPreview" topLeftCell="A313" zoomScale="120" zoomScaleNormal="87" zoomScaleSheetLayoutView="120" workbookViewId="0">
      <selection activeCell="A4" sqref="A4:J4"/>
    </sheetView>
  </sheetViews>
  <sheetFormatPr defaultColWidth="11.140625" defaultRowHeight="21" customHeight="1" x14ac:dyDescent="0.5"/>
  <cols>
    <col min="1" max="1" width="30" style="82" customWidth="1"/>
    <col min="2" max="4" width="18.140625" style="94" customWidth="1"/>
    <col min="5" max="5" width="18.140625" style="94" hidden="1" customWidth="1"/>
    <col min="6" max="8" width="18.140625" style="94" customWidth="1"/>
    <col min="9" max="9" width="18.140625" style="94" hidden="1" customWidth="1"/>
    <col min="10" max="10" width="18.140625" style="94" customWidth="1"/>
    <col min="11" max="11" width="13.85546875" style="81" customWidth="1"/>
    <col min="12" max="13" width="13.85546875" style="82" customWidth="1"/>
    <col min="14" max="16384" width="11.140625" style="82"/>
  </cols>
  <sheetData>
    <row r="1" spans="1:10" ht="21" customHeight="1" x14ac:dyDescent="0.5">
      <c r="A1" s="193" t="s">
        <v>24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0" ht="21" customHeight="1" x14ac:dyDescent="0.5">
      <c r="A2" s="193" t="s">
        <v>68</v>
      </c>
      <c r="B2" s="193"/>
      <c r="C2" s="193"/>
      <c r="D2" s="193"/>
      <c r="E2" s="193"/>
      <c r="F2" s="193"/>
      <c r="G2" s="193"/>
      <c r="H2" s="193"/>
      <c r="I2" s="193"/>
      <c r="J2" s="193"/>
    </row>
    <row r="3" spans="1:10" ht="21" customHeight="1" x14ac:dyDescent="0.5">
      <c r="A3" s="193" t="s">
        <v>69</v>
      </c>
      <c r="B3" s="193"/>
      <c r="C3" s="193"/>
      <c r="D3" s="193"/>
      <c r="E3" s="193"/>
      <c r="F3" s="193"/>
      <c r="G3" s="193"/>
      <c r="H3" s="193"/>
      <c r="I3" s="193"/>
      <c r="J3" s="193"/>
    </row>
    <row r="4" spans="1:10" ht="21" customHeight="1" x14ac:dyDescent="0.5">
      <c r="A4" s="192" t="s">
        <v>79</v>
      </c>
      <c r="B4" s="192"/>
      <c r="C4" s="192"/>
      <c r="D4" s="192"/>
      <c r="E4" s="192"/>
      <c r="F4" s="192"/>
      <c r="G4" s="192"/>
      <c r="H4" s="192"/>
      <c r="I4" s="192"/>
      <c r="J4" s="192"/>
    </row>
    <row r="5" spans="1:10" s="81" customFormat="1" ht="33" customHeight="1" x14ac:dyDescent="0.5">
      <c r="A5" s="6" t="s">
        <v>47</v>
      </c>
      <c r="B5" s="7" t="s">
        <v>80</v>
      </c>
      <c r="C5" s="7" t="s">
        <v>81</v>
      </c>
      <c r="D5" s="7" t="s">
        <v>82</v>
      </c>
      <c r="E5" s="7" t="s">
        <v>30</v>
      </c>
      <c r="F5" s="7" t="s">
        <v>83</v>
      </c>
      <c r="G5" s="7" t="s">
        <v>84</v>
      </c>
      <c r="H5" s="7" t="s">
        <v>85</v>
      </c>
      <c r="I5" s="7" t="s">
        <v>31</v>
      </c>
      <c r="J5" s="80" t="s">
        <v>6</v>
      </c>
    </row>
    <row r="6" spans="1:10" ht="19.899999999999999" customHeight="1" x14ac:dyDescent="0.5">
      <c r="A6" s="83" t="s">
        <v>10</v>
      </c>
      <c r="B6" s="84"/>
      <c r="C6" s="84"/>
      <c r="D6" s="84"/>
      <c r="E6" s="85"/>
      <c r="F6" s="84"/>
      <c r="G6" s="84"/>
      <c r="H6" s="84"/>
      <c r="I6" s="85"/>
      <c r="J6" s="84"/>
    </row>
    <row r="7" spans="1:10" ht="19.899999999999999" customHeight="1" x14ac:dyDescent="0.5">
      <c r="A7" s="88" t="s">
        <v>50</v>
      </c>
      <c r="B7" s="107">
        <f>B35+B63+B91+B119+B147+B175+B203+B231+B259+B287</f>
        <v>9331507.4199999999</v>
      </c>
      <c r="C7" s="107">
        <f>C35+C63+C91+C119+C147+C175+C203+C231+C259+C287</f>
        <v>9407051.620000001</v>
      </c>
      <c r="D7" s="107">
        <f>D35+D63+D91+D119+D147+D175+D203+D231+D259+D287</f>
        <v>9778139.1400000006</v>
      </c>
      <c r="E7" s="87"/>
      <c r="F7" s="107">
        <f>F35+F63+F91+F119+F147+F175+F203+F231+F259+F287</f>
        <v>10953460.25</v>
      </c>
      <c r="G7" s="107">
        <f t="shared" ref="G7:H7" si="0">G35+G63+G91+G119+G147+G175+G203+G231+G259+G287</f>
        <v>9806192.5800000001</v>
      </c>
      <c r="H7" s="107">
        <f t="shared" si="0"/>
        <v>9840576.2799999993</v>
      </c>
      <c r="I7" s="87"/>
      <c r="J7" s="108">
        <f>SUM(B7:H7)</f>
        <v>59116927.289999999</v>
      </c>
    </row>
    <row r="8" spans="1:10" ht="19.899999999999999" customHeight="1" x14ac:dyDescent="0.5">
      <c r="A8" s="88" t="s">
        <v>32</v>
      </c>
      <c r="B8" s="107">
        <f t="shared" ref="B8:D14" si="1">B36+B64+B92+B120+B148+B176+B204+B232+B260+B288</f>
        <v>2576515.1</v>
      </c>
      <c r="C8" s="107">
        <f t="shared" si="1"/>
        <v>3852152.45</v>
      </c>
      <c r="D8" s="107">
        <f t="shared" si="1"/>
        <v>3236779.9699999997</v>
      </c>
      <c r="E8" s="87"/>
      <c r="F8" s="107">
        <f t="shared" ref="F8:H14" si="2">F36+F64+F92+F120+F148+F176+F204+F232+F260+F288</f>
        <v>2911997.88</v>
      </c>
      <c r="G8" s="107">
        <f t="shared" si="2"/>
        <v>3024196.81</v>
      </c>
      <c r="H8" s="107">
        <f t="shared" si="2"/>
        <v>2925464.36</v>
      </c>
      <c r="I8" s="87"/>
      <c r="J8" s="108">
        <f>SUM(B8:H8)</f>
        <v>18527106.57</v>
      </c>
    </row>
    <row r="9" spans="1:10" ht="19.899999999999999" customHeight="1" x14ac:dyDescent="0.5">
      <c r="A9" s="88" t="s">
        <v>33</v>
      </c>
      <c r="B9" s="107">
        <f t="shared" si="1"/>
        <v>1430180</v>
      </c>
      <c r="C9" s="107">
        <f t="shared" si="1"/>
        <v>4362755.03</v>
      </c>
      <c r="D9" s="107">
        <f t="shared" si="1"/>
        <v>5498715.0499999998</v>
      </c>
      <c r="E9" s="87"/>
      <c r="F9" s="107">
        <f t="shared" si="2"/>
        <v>7240650.1999999993</v>
      </c>
      <c r="G9" s="107">
        <f t="shared" si="2"/>
        <v>9310130.7100000009</v>
      </c>
      <c r="H9" s="107">
        <f t="shared" si="2"/>
        <v>8109288.2800000003</v>
      </c>
      <c r="I9" s="87"/>
      <c r="J9" s="108">
        <f>SUM(B9:H9)</f>
        <v>35951719.270000003</v>
      </c>
    </row>
    <row r="10" spans="1:10" ht="19.899999999999999" customHeight="1" x14ac:dyDescent="0.5">
      <c r="A10" s="88" t="s">
        <v>34</v>
      </c>
      <c r="B10" s="107">
        <f t="shared" si="1"/>
        <v>808784.16</v>
      </c>
      <c r="C10" s="107">
        <f t="shared" si="1"/>
        <v>1130328.8799999999</v>
      </c>
      <c r="D10" s="107">
        <f t="shared" si="1"/>
        <v>75129.25</v>
      </c>
      <c r="E10" s="87"/>
      <c r="F10" s="107">
        <f t="shared" si="2"/>
        <v>1385131.47</v>
      </c>
      <c r="G10" s="107">
        <f t="shared" si="2"/>
        <v>865357.10000000009</v>
      </c>
      <c r="H10" s="107">
        <f t="shared" si="2"/>
        <v>667860.78</v>
      </c>
      <c r="I10" s="87"/>
      <c r="J10" s="108">
        <f>SUM(B10:H10)</f>
        <v>4932591.6399999997</v>
      </c>
    </row>
    <row r="11" spans="1:10" ht="19.899999999999999" customHeight="1" x14ac:dyDescent="0.5">
      <c r="A11" s="88" t="s">
        <v>35</v>
      </c>
      <c r="B11" s="107"/>
      <c r="C11" s="107">
        <f t="shared" si="1"/>
        <v>252000</v>
      </c>
      <c r="D11" s="107">
        <f t="shared" si="1"/>
        <v>288000</v>
      </c>
      <c r="E11" s="87"/>
      <c r="F11" s="107">
        <f t="shared" si="2"/>
        <v>0</v>
      </c>
      <c r="G11" s="107">
        <f t="shared" si="2"/>
        <v>0</v>
      </c>
      <c r="H11" s="107">
        <f t="shared" si="2"/>
        <v>0</v>
      </c>
      <c r="I11" s="87"/>
      <c r="J11" s="108">
        <f>SUM(B11:H11)</f>
        <v>540000</v>
      </c>
    </row>
    <row r="12" spans="1:10" ht="19.899999999999999" customHeight="1" x14ac:dyDescent="0.5">
      <c r="A12" s="88" t="s">
        <v>36</v>
      </c>
      <c r="B12" s="107"/>
      <c r="C12" s="107">
        <f>C40+C68+C96+C124+C152+C180+C208+C236+C264+C292</f>
        <v>0</v>
      </c>
      <c r="D12" s="107">
        <f t="shared" si="1"/>
        <v>0</v>
      </c>
      <c r="E12" s="87"/>
      <c r="F12" s="107">
        <f t="shared" si="2"/>
        <v>826950</v>
      </c>
      <c r="G12" s="107">
        <f t="shared" si="2"/>
        <v>3981000</v>
      </c>
      <c r="H12" s="107">
        <f>H40+H68+H96+H124+H152+H180+H208+H236+H264+H292</f>
        <v>8987087.75</v>
      </c>
      <c r="I12" s="87"/>
      <c r="J12" s="108">
        <f t="shared" ref="J12" si="3">SUM(B12:H12)</f>
        <v>13795037.75</v>
      </c>
    </row>
    <row r="13" spans="1:10" ht="19.899999999999999" customHeight="1" x14ac:dyDescent="0.5">
      <c r="A13" s="89" t="s">
        <v>71</v>
      </c>
      <c r="B13" s="107"/>
      <c r="C13" s="107">
        <f t="shared" ref="C13" si="4">C41+C69+C97+C125+C153+C181+C209+C237+C265+C293</f>
        <v>0</v>
      </c>
      <c r="D13" s="107">
        <f t="shared" si="1"/>
        <v>1694930</v>
      </c>
      <c r="E13" s="87"/>
      <c r="F13" s="107">
        <f t="shared" si="2"/>
        <v>957144</v>
      </c>
      <c r="G13" s="107">
        <f t="shared" si="2"/>
        <v>2927140</v>
      </c>
      <c r="H13" s="107">
        <f t="shared" si="2"/>
        <v>2306838</v>
      </c>
      <c r="I13" s="87"/>
      <c r="J13" s="108">
        <f>SUM(B13:H13)</f>
        <v>7886052</v>
      </c>
    </row>
    <row r="14" spans="1:10" ht="19.899999999999999" customHeight="1" x14ac:dyDescent="0.5">
      <c r="A14" s="90" t="s">
        <v>72</v>
      </c>
      <c r="B14" s="107"/>
      <c r="C14" s="107">
        <f t="shared" ref="C14" si="5">C42+C70+C98+C126+C154+C182+C210+C238+C266+C294</f>
        <v>214624.43</v>
      </c>
      <c r="D14" s="107">
        <f t="shared" si="1"/>
        <v>1199286.3799999999</v>
      </c>
      <c r="E14" s="167"/>
      <c r="F14" s="107">
        <f t="shared" si="2"/>
        <v>1393510.98</v>
      </c>
      <c r="G14" s="107">
        <f t="shared" si="2"/>
        <v>1404185.27</v>
      </c>
      <c r="H14" s="107">
        <f t="shared" si="2"/>
        <v>870556</v>
      </c>
      <c r="I14" s="167"/>
      <c r="J14" s="108">
        <f>SUM(B14:H14)</f>
        <v>5082163.0600000005</v>
      </c>
    </row>
    <row r="15" spans="1:10" ht="19.899999999999999" customHeight="1" thickBot="1" x14ac:dyDescent="0.55000000000000004">
      <c r="A15" s="91" t="s">
        <v>37</v>
      </c>
      <c r="B15" s="105">
        <f>SUM(B7:B14)</f>
        <v>14146986.68</v>
      </c>
      <c r="C15" s="105">
        <f t="shared" ref="C15:I15" si="6">SUM(C7:C14)</f>
        <v>19218912.41</v>
      </c>
      <c r="D15" s="105">
        <f t="shared" si="6"/>
        <v>21770979.789999999</v>
      </c>
      <c r="E15" s="105">
        <f t="shared" si="6"/>
        <v>0</v>
      </c>
      <c r="F15" s="105">
        <f t="shared" si="6"/>
        <v>25668844.779999997</v>
      </c>
      <c r="G15" s="105">
        <f t="shared" si="6"/>
        <v>31318202.470000003</v>
      </c>
      <c r="H15" s="105">
        <f>SUM(H7:H14)</f>
        <v>33707671.450000003</v>
      </c>
      <c r="I15" s="105">
        <f t="shared" si="6"/>
        <v>0</v>
      </c>
      <c r="J15" s="105">
        <f>SUM(J7:J14)</f>
        <v>145831597.57999998</v>
      </c>
    </row>
    <row r="16" spans="1:10" ht="19.899999999999999" customHeight="1" thickTop="1" x14ac:dyDescent="0.5">
      <c r="A16" s="86" t="s">
        <v>27</v>
      </c>
      <c r="B16" s="104">
        <v>0</v>
      </c>
      <c r="C16" s="104">
        <v>0</v>
      </c>
      <c r="D16" s="104">
        <v>0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</row>
    <row r="17" spans="1:10" ht="19.899999999999999" customHeight="1" x14ac:dyDescent="0.5">
      <c r="A17" s="91" t="s">
        <v>38</v>
      </c>
      <c r="B17" s="92">
        <f>SUM(B15:B16)</f>
        <v>14146986.68</v>
      </c>
      <c r="C17" s="92">
        <f t="shared" ref="C17:I17" si="7">SUM(C15:C16)</f>
        <v>19218912.41</v>
      </c>
      <c r="D17" s="92">
        <f t="shared" si="7"/>
        <v>21770979.789999999</v>
      </c>
      <c r="E17" s="93">
        <f t="shared" si="7"/>
        <v>0</v>
      </c>
      <c r="F17" s="92">
        <f t="shared" si="7"/>
        <v>25668844.779999997</v>
      </c>
      <c r="G17" s="92">
        <f t="shared" si="7"/>
        <v>31318202.470000003</v>
      </c>
      <c r="H17" s="92">
        <f t="shared" si="7"/>
        <v>33707671.450000003</v>
      </c>
      <c r="I17" s="93">
        <f t="shared" si="7"/>
        <v>0</v>
      </c>
      <c r="J17" s="92">
        <f>SUM(J15:J16)</f>
        <v>145831597.57999998</v>
      </c>
    </row>
    <row r="19" spans="1:10" ht="21" customHeight="1" x14ac:dyDescent="0.5">
      <c r="B19" s="112" t="e">
        <f>SUM(#REF!+B9)</f>
        <v>#REF!</v>
      </c>
      <c r="C19" s="112" t="e">
        <f>SUM(#REF!+C9)</f>
        <v>#REF!</v>
      </c>
      <c r="D19" s="112" t="e">
        <f>SUM(#REF!+D9)</f>
        <v>#REF!</v>
      </c>
      <c r="E19" s="112" t="e">
        <f>SUM(#REF!+E9)</f>
        <v>#REF!</v>
      </c>
      <c r="F19" s="112" t="e">
        <f>SUM(#REF!+F9)</f>
        <v>#REF!</v>
      </c>
      <c r="G19" s="112" t="e">
        <f>SUM(#REF!+G9)</f>
        <v>#REF!</v>
      </c>
      <c r="H19" s="112" t="e">
        <f>SUM(#REF!+H9)</f>
        <v>#REF!</v>
      </c>
      <c r="I19" s="112" t="e">
        <f>SUM(#REF!+I9)</f>
        <v>#REF!</v>
      </c>
      <c r="J19" s="112" t="e">
        <f>SUM(#REF!+J9)</f>
        <v>#REF!</v>
      </c>
    </row>
    <row r="30" spans="1:10" ht="21" customHeight="1" x14ac:dyDescent="0.5">
      <c r="A30" s="193" t="s">
        <v>68</v>
      </c>
      <c r="B30" s="193"/>
      <c r="C30" s="193"/>
      <c r="D30" s="193"/>
      <c r="E30" s="193"/>
      <c r="F30" s="193"/>
      <c r="G30" s="193"/>
      <c r="H30" s="193"/>
      <c r="I30" s="193"/>
      <c r="J30" s="193"/>
    </row>
    <row r="31" spans="1:10" ht="21" customHeight="1" x14ac:dyDescent="0.5">
      <c r="A31" s="193" t="s">
        <v>23</v>
      </c>
      <c r="B31" s="193"/>
      <c r="C31" s="193"/>
      <c r="D31" s="193"/>
      <c r="E31" s="193"/>
      <c r="F31" s="193"/>
      <c r="G31" s="193"/>
      <c r="H31" s="193"/>
      <c r="I31" s="193"/>
      <c r="J31" s="193"/>
    </row>
    <row r="32" spans="1:10" ht="21" customHeight="1" x14ac:dyDescent="0.5">
      <c r="A32" s="192" t="s">
        <v>79</v>
      </c>
      <c r="B32" s="192"/>
      <c r="C32" s="192"/>
      <c r="D32" s="192"/>
      <c r="E32" s="192"/>
      <c r="F32" s="192"/>
      <c r="G32" s="192"/>
      <c r="H32" s="192"/>
      <c r="I32" s="192"/>
      <c r="J32" s="192"/>
    </row>
    <row r="33" spans="1:10" s="81" customFormat="1" ht="33" customHeight="1" x14ac:dyDescent="0.5">
      <c r="A33" s="6" t="s">
        <v>47</v>
      </c>
      <c r="B33" s="7" t="s">
        <v>80</v>
      </c>
      <c r="C33" s="7" t="s">
        <v>81</v>
      </c>
      <c r="D33" s="7" t="s">
        <v>82</v>
      </c>
      <c r="E33" s="7" t="s">
        <v>30</v>
      </c>
      <c r="F33" s="7" t="s">
        <v>83</v>
      </c>
      <c r="G33" s="7" t="s">
        <v>84</v>
      </c>
      <c r="H33" s="7" t="s">
        <v>85</v>
      </c>
      <c r="I33" s="7" t="s">
        <v>31</v>
      </c>
      <c r="J33" s="80" t="s">
        <v>6</v>
      </c>
    </row>
    <row r="34" spans="1:10" ht="19.899999999999999" customHeight="1" x14ac:dyDescent="0.5">
      <c r="A34" s="83" t="s">
        <v>10</v>
      </c>
      <c r="B34" s="84"/>
      <c r="C34" s="84"/>
      <c r="D34" s="84"/>
      <c r="E34" s="85"/>
      <c r="F34" s="84"/>
      <c r="G34" s="84"/>
      <c r="H34" s="84"/>
      <c r="I34" s="85"/>
      <c r="J34" s="84"/>
    </row>
    <row r="35" spans="1:10" ht="19.899999999999999" customHeight="1" x14ac:dyDescent="0.5">
      <c r="A35" s="88" t="s">
        <v>50</v>
      </c>
      <c r="B35" s="107">
        <v>703750</v>
      </c>
      <c r="C35" s="107">
        <v>601090.32999999996</v>
      </c>
      <c r="D35" s="107">
        <v>753443.32</v>
      </c>
      <c r="E35" s="87"/>
      <c r="F35" s="107">
        <v>804127.09</v>
      </c>
      <c r="G35" s="107">
        <v>708870</v>
      </c>
      <c r="H35" s="107">
        <v>723744.84</v>
      </c>
      <c r="I35" s="87">
        <f t="shared" ref="I35:I42" si="8">F35+G35+H35</f>
        <v>2236741.9299999997</v>
      </c>
      <c r="J35" s="108">
        <f>SUM(B35:H35)</f>
        <v>4295025.58</v>
      </c>
    </row>
    <row r="36" spans="1:10" ht="19.899999999999999" customHeight="1" x14ac:dyDescent="0.5">
      <c r="A36" s="88" t="s">
        <v>32</v>
      </c>
      <c r="B36" s="107">
        <v>12000</v>
      </c>
      <c r="C36" s="107">
        <v>17968</v>
      </c>
      <c r="D36" s="107">
        <v>13999.61</v>
      </c>
      <c r="E36" s="87">
        <f t="shared" ref="E36:E40" si="9">B36+C36+D36</f>
        <v>43967.61</v>
      </c>
      <c r="F36" s="107">
        <v>13000</v>
      </c>
      <c r="G36" s="107">
        <v>13000</v>
      </c>
      <c r="H36" s="107">
        <v>39000</v>
      </c>
      <c r="I36" s="87">
        <f t="shared" si="8"/>
        <v>65000</v>
      </c>
      <c r="J36" s="108">
        <f>SUM(B36:H36)</f>
        <v>152935.22</v>
      </c>
    </row>
    <row r="37" spans="1:10" ht="19.899999999999999" customHeight="1" x14ac:dyDescent="0.5">
      <c r="A37" s="88" t="s">
        <v>33</v>
      </c>
      <c r="B37" s="107">
        <v>0</v>
      </c>
      <c r="C37" s="107">
        <v>329672.42</v>
      </c>
      <c r="D37" s="107">
        <v>435993.67</v>
      </c>
      <c r="E37" s="87">
        <f t="shared" si="9"/>
        <v>765666.09</v>
      </c>
      <c r="F37" s="107">
        <v>254380</v>
      </c>
      <c r="G37" s="107">
        <v>564567.34</v>
      </c>
      <c r="H37" s="107">
        <v>614929.39</v>
      </c>
      <c r="I37" s="87">
        <f t="shared" si="8"/>
        <v>1433876.73</v>
      </c>
      <c r="J37" s="108">
        <f>SUM(B37:H37)</f>
        <v>2965208.91</v>
      </c>
    </row>
    <row r="38" spans="1:10" ht="19.899999999999999" customHeight="1" x14ac:dyDescent="0.5">
      <c r="A38" s="88" t="s">
        <v>34</v>
      </c>
      <c r="B38" s="107">
        <v>481.5</v>
      </c>
      <c r="C38" s="107">
        <v>818023.33</v>
      </c>
      <c r="D38" s="107">
        <v>18820.099999999999</v>
      </c>
      <c r="E38" s="87">
        <f t="shared" si="9"/>
        <v>837324.92999999993</v>
      </c>
      <c r="F38" s="107">
        <v>272779.32</v>
      </c>
      <c r="G38" s="107">
        <v>398773.33</v>
      </c>
      <c r="H38" s="107">
        <v>0</v>
      </c>
      <c r="I38" s="87">
        <f t="shared" si="8"/>
        <v>671552.65</v>
      </c>
      <c r="J38" s="108">
        <f>SUM(B38:H38)</f>
        <v>2346202.5099999998</v>
      </c>
    </row>
    <row r="39" spans="1:10" ht="19.899999999999999" customHeight="1" x14ac:dyDescent="0.5">
      <c r="A39" s="88" t="s">
        <v>35</v>
      </c>
      <c r="B39" s="107">
        <f>B66+B98+B126+B154+B182+B210+B238+B266+B294+B323</f>
        <v>0</v>
      </c>
      <c r="C39" s="107">
        <v>0</v>
      </c>
      <c r="D39" s="107">
        <v>0</v>
      </c>
      <c r="E39" s="87">
        <f t="shared" si="9"/>
        <v>0</v>
      </c>
      <c r="F39" s="107">
        <v>0</v>
      </c>
      <c r="G39" s="107">
        <v>0</v>
      </c>
      <c r="H39" s="107">
        <v>0</v>
      </c>
      <c r="I39" s="87">
        <f t="shared" si="8"/>
        <v>0</v>
      </c>
      <c r="J39" s="108">
        <f t="shared" ref="J39:J41" si="10">SUM(B39:H39)</f>
        <v>0</v>
      </c>
    </row>
    <row r="40" spans="1:10" ht="19.899999999999999" customHeight="1" x14ac:dyDescent="0.5">
      <c r="A40" s="88" t="s">
        <v>36</v>
      </c>
      <c r="B40" s="107">
        <v>0</v>
      </c>
      <c r="C40" s="107">
        <v>0</v>
      </c>
      <c r="D40" s="107">
        <v>0</v>
      </c>
      <c r="E40" s="87">
        <f t="shared" si="9"/>
        <v>0</v>
      </c>
      <c r="F40" s="107">
        <v>0</v>
      </c>
      <c r="G40" s="107">
        <v>0</v>
      </c>
      <c r="H40" s="107">
        <v>0</v>
      </c>
      <c r="I40" s="87">
        <f t="shared" si="8"/>
        <v>0</v>
      </c>
      <c r="J40" s="108">
        <f t="shared" si="10"/>
        <v>0</v>
      </c>
    </row>
    <row r="41" spans="1:10" ht="19.899999999999999" customHeight="1" x14ac:dyDescent="0.5">
      <c r="A41" s="89" t="s">
        <v>71</v>
      </c>
      <c r="B41" s="110">
        <v>0</v>
      </c>
      <c r="C41" s="110">
        <v>0</v>
      </c>
      <c r="D41" s="94">
        <v>0</v>
      </c>
      <c r="E41" s="106">
        <f>B41+C41+D42</f>
        <v>0</v>
      </c>
      <c r="F41" s="110">
        <v>0</v>
      </c>
      <c r="G41" s="110">
        <v>0</v>
      </c>
      <c r="H41" s="110">
        <v>0</v>
      </c>
      <c r="I41" s="106">
        <f t="shared" si="8"/>
        <v>0</v>
      </c>
      <c r="J41" s="108">
        <f t="shared" si="10"/>
        <v>0</v>
      </c>
    </row>
    <row r="42" spans="1:10" ht="19.899999999999999" customHeight="1" x14ac:dyDescent="0.5">
      <c r="A42" s="90" t="s">
        <v>72</v>
      </c>
      <c r="B42" s="166">
        <v>0</v>
      </c>
      <c r="C42" s="166">
        <v>0</v>
      </c>
      <c r="D42" s="110">
        <v>0</v>
      </c>
      <c r="E42" s="167" t="e">
        <f>B42+C42+#REF!</f>
        <v>#REF!</v>
      </c>
      <c r="F42" s="107">
        <v>0</v>
      </c>
      <c r="G42" s="166">
        <v>0</v>
      </c>
      <c r="H42" s="166">
        <v>0</v>
      </c>
      <c r="I42" s="167">
        <f t="shared" si="8"/>
        <v>0</v>
      </c>
      <c r="J42" s="108">
        <v>0</v>
      </c>
    </row>
    <row r="43" spans="1:10" ht="19.899999999999999" customHeight="1" thickBot="1" x14ac:dyDescent="0.55000000000000004">
      <c r="A43" s="91" t="s">
        <v>37</v>
      </c>
      <c r="B43" s="105">
        <f>SUM(B35:B42)</f>
        <v>716231.5</v>
      </c>
      <c r="C43" s="105">
        <f t="shared" ref="C43" si="11">SUM(C35:C42)</f>
        <v>1766754.08</v>
      </c>
      <c r="D43" s="105">
        <f>SUM(D35:D42)</f>
        <v>1222256.7</v>
      </c>
      <c r="E43" s="105" t="e">
        <f t="shared" ref="E43" si="12">SUM(E35:E42)</f>
        <v>#REF!</v>
      </c>
      <c r="F43" s="105">
        <f t="shared" ref="F43" si="13">SUM(F35:F42)</f>
        <v>1344286.41</v>
      </c>
      <c r="G43" s="105">
        <f t="shared" ref="G43" si="14">SUM(G35:G42)</f>
        <v>1685210.67</v>
      </c>
      <c r="H43" s="105">
        <f t="shared" ref="H43" si="15">SUM(H35:H42)</f>
        <v>1377674.23</v>
      </c>
      <c r="I43" s="105">
        <f t="shared" ref="I43" si="16">SUM(I35:I42)</f>
        <v>4407171.3099999996</v>
      </c>
      <c r="J43" s="105">
        <f>SUM(J35:J42)</f>
        <v>9759372.2199999988</v>
      </c>
    </row>
    <row r="44" spans="1:10" ht="19.899999999999999" customHeight="1" thickTop="1" x14ac:dyDescent="0.5">
      <c r="A44" s="86" t="s">
        <v>27</v>
      </c>
      <c r="B44" s="104">
        <v>0</v>
      </c>
      <c r="C44" s="104">
        <v>0</v>
      </c>
      <c r="D44" s="104">
        <v>0</v>
      </c>
      <c r="E44" s="104">
        <v>0</v>
      </c>
      <c r="F44" s="104">
        <v>0</v>
      </c>
      <c r="G44" s="104">
        <v>0</v>
      </c>
      <c r="H44" s="104">
        <v>0</v>
      </c>
      <c r="I44" s="104">
        <v>0</v>
      </c>
      <c r="J44" s="104">
        <v>0</v>
      </c>
    </row>
    <row r="45" spans="1:10" ht="19.899999999999999" customHeight="1" x14ac:dyDescent="0.5">
      <c r="A45" s="91" t="s">
        <v>38</v>
      </c>
      <c r="B45" s="92">
        <f>SUM(B43:B44)</f>
        <v>716231.5</v>
      </c>
      <c r="C45" s="92">
        <f t="shared" ref="C45:J45" si="17">SUM(C43:C44)</f>
        <v>1766754.08</v>
      </c>
      <c r="D45" s="92">
        <f t="shared" si="17"/>
        <v>1222256.7</v>
      </c>
      <c r="E45" s="93" t="e">
        <f t="shared" si="17"/>
        <v>#REF!</v>
      </c>
      <c r="F45" s="92">
        <f t="shared" si="17"/>
        <v>1344286.41</v>
      </c>
      <c r="G45" s="92">
        <f t="shared" si="17"/>
        <v>1685210.67</v>
      </c>
      <c r="H45" s="92">
        <f t="shared" si="17"/>
        <v>1377674.23</v>
      </c>
      <c r="I45" s="93">
        <f t="shared" si="17"/>
        <v>4407171.3099999996</v>
      </c>
      <c r="J45" s="92">
        <f t="shared" si="17"/>
        <v>9759372.2199999988</v>
      </c>
    </row>
    <row r="46" spans="1:10" ht="21" customHeight="1" x14ac:dyDescent="0.5">
      <c r="B46" s="109"/>
      <c r="C46" s="109"/>
      <c r="D46" s="109"/>
      <c r="E46" s="109"/>
      <c r="F46" s="109"/>
      <c r="G46" s="109"/>
      <c r="H46" s="109"/>
    </row>
    <row r="47" spans="1:10" ht="21" customHeight="1" x14ac:dyDescent="0.5">
      <c r="B47" s="113">
        <f t="shared" ref="B47:J47" si="18">SUM(B38:B38)</f>
        <v>481.5</v>
      </c>
      <c r="C47" s="113">
        <f t="shared" si="18"/>
        <v>818023.33</v>
      </c>
      <c r="D47" s="113">
        <f t="shared" si="18"/>
        <v>18820.099999999999</v>
      </c>
      <c r="E47" s="113">
        <f t="shared" si="18"/>
        <v>837324.92999999993</v>
      </c>
      <c r="F47" s="113">
        <f t="shared" si="18"/>
        <v>272779.32</v>
      </c>
      <c r="G47" s="113">
        <f t="shared" si="18"/>
        <v>398773.33</v>
      </c>
      <c r="H47" s="113">
        <f t="shared" si="18"/>
        <v>0</v>
      </c>
      <c r="I47" s="112">
        <f t="shared" si="18"/>
        <v>671552.65</v>
      </c>
      <c r="J47" s="112">
        <f t="shared" si="18"/>
        <v>2346202.5099999998</v>
      </c>
    </row>
    <row r="48" spans="1:10" ht="21" customHeight="1" x14ac:dyDescent="0.5">
      <c r="B48" s="109"/>
      <c r="C48" s="109"/>
      <c r="D48" s="109"/>
      <c r="E48" s="109"/>
      <c r="F48" s="109"/>
      <c r="G48" s="109"/>
      <c r="H48" s="109"/>
    </row>
    <row r="49" spans="1:10" ht="21" customHeight="1" x14ac:dyDescent="0.5">
      <c r="B49" s="109"/>
      <c r="C49" s="109"/>
      <c r="D49" s="109"/>
      <c r="E49" s="109"/>
      <c r="F49" s="109"/>
      <c r="G49" s="109"/>
      <c r="H49" s="109"/>
    </row>
    <row r="50" spans="1:10" ht="21" customHeight="1" x14ac:dyDescent="0.5">
      <c r="B50" s="109"/>
      <c r="C50" s="109"/>
      <c r="D50" s="109"/>
      <c r="E50" s="109"/>
      <c r="F50" s="109"/>
      <c r="G50" s="109"/>
      <c r="H50" s="109"/>
    </row>
    <row r="51" spans="1:10" ht="21" customHeight="1" x14ac:dyDescent="0.5">
      <c r="B51" s="109"/>
      <c r="C51" s="109"/>
      <c r="D51" s="109"/>
      <c r="E51" s="109"/>
      <c r="F51" s="109"/>
      <c r="G51" s="109"/>
      <c r="H51" s="109"/>
    </row>
    <row r="52" spans="1:10" ht="21" customHeight="1" x14ac:dyDescent="0.5">
      <c r="B52" s="109"/>
      <c r="C52" s="109"/>
      <c r="D52" s="109"/>
      <c r="E52" s="109"/>
      <c r="F52" s="109"/>
      <c r="G52" s="109"/>
      <c r="H52" s="109"/>
    </row>
    <row r="53" spans="1:10" ht="21" customHeight="1" x14ac:dyDescent="0.5">
      <c r="B53" s="109"/>
      <c r="C53" s="109"/>
      <c r="D53" s="109"/>
      <c r="E53" s="109"/>
      <c r="F53" s="109"/>
      <c r="G53" s="109"/>
      <c r="H53" s="109"/>
    </row>
    <row r="54" spans="1:10" ht="21" customHeight="1" x14ac:dyDescent="0.5">
      <c r="B54" s="109"/>
      <c r="C54" s="109"/>
      <c r="D54" s="109"/>
      <c r="E54" s="109"/>
      <c r="F54" s="109"/>
      <c r="G54" s="109"/>
      <c r="H54" s="109"/>
    </row>
    <row r="55" spans="1:10" ht="21" customHeight="1" x14ac:dyDescent="0.5">
      <c r="B55" s="109"/>
      <c r="C55" s="109"/>
      <c r="D55" s="109"/>
      <c r="E55" s="109"/>
      <c r="F55" s="109"/>
      <c r="G55" s="109"/>
      <c r="H55" s="109"/>
    </row>
    <row r="56" spans="1:10" ht="21" customHeight="1" x14ac:dyDescent="0.5">
      <c r="B56" s="109"/>
      <c r="C56" s="109"/>
      <c r="D56" s="109"/>
      <c r="E56" s="109"/>
      <c r="F56" s="109"/>
      <c r="G56" s="109"/>
      <c r="H56" s="109"/>
    </row>
    <row r="57" spans="1:10" ht="21" customHeight="1" x14ac:dyDescent="0.5">
      <c r="B57" s="109"/>
      <c r="C57" s="109"/>
      <c r="D57" s="109"/>
      <c r="E57" s="109"/>
      <c r="F57" s="109"/>
      <c r="G57" s="109"/>
      <c r="H57" s="109"/>
    </row>
    <row r="58" spans="1:10" ht="21" customHeight="1" x14ac:dyDescent="0.5">
      <c r="A58" s="193" t="s">
        <v>68</v>
      </c>
      <c r="B58" s="193"/>
      <c r="C58" s="193"/>
      <c r="D58" s="193"/>
      <c r="E58" s="193"/>
      <c r="F58" s="193"/>
      <c r="G58" s="193"/>
      <c r="H58" s="193"/>
      <c r="I58" s="193"/>
      <c r="J58" s="193"/>
    </row>
    <row r="59" spans="1:10" ht="21" customHeight="1" x14ac:dyDescent="0.5">
      <c r="A59" s="193" t="s">
        <v>54</v>
      </c>
      <c r="B59" s="193"/>
      <c r="C59" s="193"/>
      <c r="D59" s="193"/>
      <c r="E59" s="193"/>
      <c r="F59" s="193"/>
      <c r="G59" s="193"/>
      <c r="H59" s="193"/>
      <c r="I59" s="193"/>
      <c r="J59" s="193"/>
    </row>
    <row r="60" spans="1:10" ht="21" customHeight="1" x14ac:dyDescent="0.5">
      <c r="A60" s="192" t="s">
        <v>79</v>
      </c>
      <c r="B60" s="192"/>
      <c r="C60" s="192"/>
      <c r="D60" s="192"/>
      <c r="E60" s="192"/>
      <c r="F60" s="192"/>
      <c r="G60" s="192"/>
      <c r="H60" s="192"/>
      <c r="I60" s="192"/>
      <c r="J60" s="192"/>
    </row>
    <row r="61" spans="1:10" s="81" customFormat="1" ht="33" customHeight="1" x14ac:dyDescent="0.5">
      <c r="A61" s="6" t="s">
        <v>47</v>
      </c>
      <c r="B61" s="7" t="s">
        <v>80</v>
      </c>
      <c r="C61" s="7" t="s">
        <v>81</v>
      </c>
      <c r="D61" s="7" t="s">
        <v>82</v>
      </c>
      <c r="E61" s="7" t="s">
        <v>30</v>
      </c>
      <c r="F61" s="7" t="s">
        <v>83</v>
      </c>
      <c r="G61" s="7" t="s">
        <v>84</v>
      </c>
      <c r="H61" s="7" t="s">
        <v>85</v>
      </c>
      <c r="I61" s="7" t="s">
        <v>31</v>
      </c>
      <c r="J61" s="80" t="s">
        <v>6</v>
      </c>
    </row>
    <row r="62" spans="1:10" ht="19.899999999999999" customHeight="1" x14ac:dyDescent="0.5">
      <c r="A62" s="83" t="s">
        <v>10</v>
      </c>
      <c r="B62" s="84"/>
      <c r="C62" s="84"/>
      <c r="D62" s="84"/>
      <c r="E62" s="85"/>
      <c r="F62" s="84"/>
      <c r="G62" s="84"/>
      <c r="H62" s="84"/>
      <c r="I62" s="85"/>
      <c r="J62" s="84"/>
    </row>
    <row r="63" spans="1:10" ht="19.899999999999999" customHeight="1" x14ac:dyDescent="0.5">
      <c r="A63" s="88" t="s">
        <v>50</v>
      </c>
      <c r="B63" s="107">
        <v>551810</v>
      </c>
      <c r="C63" s="107">
        <v>552980</v>
      </c>
      <c r="D63" s="107">
        <v>551810</v>
      </c>
      <c r="E63" s="87"/>
      <c r="F63" s="107">
        <v>606506.97</v>
      </c>
      <c r="G63" s="107">
        <v>548420</v>
      </c>
      <c r="H63" s="107">
        <v>548420</v>
      </c>
      <c r="I63" s="87">
        <f t="shared" ref="I63:I70" si="19">F63+G63+H63</f>
        <v>1703346.97</v>
      </c>
      <c r="J63" s="108">
        <f>SUM(B63:H63)</f>
        <v>3359946.9699999997</v>
      </c>
    </row>
    <row r="64" spans="1:10" ht="19.899999999999999" customHeight="1" x14ac:dyDescent="0.5">
      <c r="A64" s="88" t="s">
        <v>32</v>
      </c>
      <c r="B64" s="107">
        <v>0</v>
      </c>
      <c r="C64" s="107">
        <v>0</v>
      </c>
      <c r="D64" s="107">
        <v>0</v>
      </c>
      <c r="E64" s="87">
        <f t="shared" ref="E64:E68" si="20">B64+C64+D64</f>
        <v>0</v>
      </c>
      <c r="F64" s="107">
        <v>0</v>
      </c>
      <c r="G64" s="107">
        <v>0</v>
      </c>
      <c r="H64" s="107">
        <v>0</v>
      </c>
      <c r="I64" s="87">
        <f t="shared" si="19"/>
        <v>0</v>
      </c>
      <c r="J64" s="108">
        <f t="shared" ref="J64:J69" si="21">SUM(B64:H64)</f>
        <v>0</v>
      </c>
    </row>
    <row r="65" spans="1:10" ht="19.899999999999999" customHeight="1" x14ac:dyDescent="0.5">
      <c r="A65" s="88" t="s">
        <v>33</v>
      </c>
      <c r="B65" s="107">
        <v>0</v>
      </c>
      <c r="C65" s="107">
        <v>64860</v>
      </c>
      <c r="D65" s="107">
        <v>79060</v>
      </c>
      <c r="E65" s="87">
        <f t="shared" si="20"/>
        <v>143920</v>
      </c>
      <c r="F65" s="107">
        <v>76560</v>
      </c>
      <c r="G65" s="107">
        <v>158373</v>
      </c>
      <c r="H65" s="107">
        <v>65690</v>
      </c>
      <c r="I65" s="87">
        <f t="shared" si="19"/>
        <v>300623</v>
      </c>
      <c r="J65" s="108">
        <f t="shared" si="21"/>
        <v>588463</v>
      </c>
    </row>
    <row r="66" spans="1:10" ht="19.899999999999999" customHeight="1" x14ac:dyDescent="0.5">
      <c r="A66" s="88" t="s">
        <v>34</v>
      </c>
      <c r="B66" s="107">
        <v>0</v>
      </c>
      <c r="C66" s="107">
        <v>0</v>
      </c>
      <c r="D66" s="107">
        <v>0</v>
      </c>
      <c r="E66" s="87">
        <f t="shared" si="20"/>
        <v>0</v>
      </c>
      <c r="F66" s="107">
        <v>0</v>
      </c>
      <c r="G66" s="107">
        <v>0</v>
      </c>
      <c r="H66" s="107">
        <v>0</v>
      </c>
      <c r="I66" s="87">
        <f t="shared" si="19"/>
        <v>0</v>
      </c>
      <c r="J66" s="108">
        <f t="shared" si="21"/>
        <v>0</v>
      </c>
    </row>
    <row r="67" spans="1:10" ht="19.899999999999999" customHeight="1" x14ac:dyDescent="0.5">
      <c r="A67" s="88" t="s">
        <v>35</v>
      </c>
      <c r="B67" s="107">
        <v>0</v>
      </c>
      <c r="C67" s="107">
        <v>0</v>
      </c>
      <c r="D67" s="107">
        <v>0</v>
      </c>
      <c r="E67" s="87">
        <f t="shared" si="20"/>
        <v>0</v>
      </c>
      <c r="F67" s="107">
        <v>0</v>
      </c>
      <c r="G67" s="107">
        <v>0</v>
      </c>
      <c r="H67" s="107">
        <v>0</v>
      </c>
      <c r="I67" s="87">
        <f t="shared" si="19"/>
        <v>0</v>
      </c>
      <c r="J67" s="108">
        <f t="shared" si="21"/>
        <v>0</v>
      </c>
    </row>
    <row r="68" spans="1:10" ht="19.899999999999999" customHeight="1" x14ac:dyDescent="0.5">
      <c r="A68" s="88" t="s">
        <v>36</v>
      </c>
      <c r="B68" s="107">
        <v>0</v>
      </c>
      <c r="C68" s="107">
        <v>0</v>
      </c>
      <c r="D68" s="107">
        <v>0</v>
      </c>
      <c r="E68" s="87">
        <f t="shared" si="20"/>
        <v>0</v>
      </c>
      <c r="F68" s="107">
        <v>0</v>
      </c>
      <c r="G68" s="107">
        <v>0</v>
      </c>
      <c r="H68" s="107">
        <v>0</v>
      </c>
      <c r="I68" s="87">
        <f t="shared" si="19"/>
        <v>0</v>
      </c>
      <c r="J68" s="108">
        <f t="shared" si="21"/>
        <v>0</v>
      </c>
    </row>
    <row r="69" spans="1:10" ht="19.899999999999999" customHeight="1" x14ac:dyDescent="0.5">
      <c r="A69" s="89" t="s">
        <v>71</v>
      </c>
      <c r="B69" s="110">
        <v>0</v>
      </c>
      <c r="C69" s="110">
        <v>0</v>
      </c>
      <c r="D69" s="94">
        <v>0</v>
      </c>
      <c r="E69" s="106">
        <f>B69+C69+D70</f>
        <v>0</v>
      </c>
      <c r="F69" s="110">
        <v>0</v>
      </c>
      <c r="G69" s="110">
        <v>0</v>
      </c>
      <c r="H69" s="110">
        <v>0</v>
      </c>
      <c r="I69" s="106">
        <f t="shared" si="19"/>
        <v>0</v>
      </c>
      <c r="J69" s="108">
        <f t="shared" si="21"/>
        <v>0</v>
      </c>
    </row>
    <row r="70" spans="1:10" ht="19.899999999999999" customHeight="1" x14ac:dyDescent="0.5">
      <c r="A70" s="90" t="s">
        <v>72</v>
      </c>
      <c r="B70" s="166">
        <v>0</v>
      </c>
      <c r="C70" s="166">
        <v>0</v>
      </c>
      <c r="D70" s="110">
        <v>0</v>
      </c>
      <c r="E70" s="167" t="e">
        <f>B70+C70+#REF!</f>
        <v>#REF!</v>
      </c>
      <c r="F70" s="107">
        <v>0</v>
      </c>
      <c r="G70" s="166">
        <v>0</v>
      </c>
      <c r="H70" s="166">
        <v>0</v>
      </c>
      <c r="I70" s="167">
        <f t="shared" si="19"/>
        <v>0</v>
      </c>
      <c r="J70" s="108">
        <v>0</v>
      </c>
    </row>
    <row r="71" spans="1:10" ht="19.899999999999999" customHeight="1" thickBot="1" x14ac:dyDescent="0.55000000000000004">
      <c r="A71" s="91" t="s">
        <v>37</v>
      </c>
      <c r="B71" s="105">
        <f>SUM(B63:B70)</f>
        <v>551810</v>
      </c>
      <c r="C71" s="105">
        <f t="shared" ref="C71" si="22">SUM(C63:C70)</f>
        <v>617840</v>
      </c>
      <c r="D71" s="105">
        <f>SUM(D63:D70)</f>
        <v>630870</v>
      </c>
      <c r="E71" s="105" t="e">
        <f t="shared" ref="E71:I71" si="23">SUM(E63:E70)</f>
        <v>#REF!</v>
      </c>
      <c r="F71" s="105">
        <f t="shared" si="23"/>
        <v>683066.97</v>
      </c>
      <c r="G71" s="105">
        <f t="shared" si="23"/>
        <v>706793</v>
      </c>
      <c r="H71" s="105">
        <f t="shared" si="23"/>
        <v>614110</v>
      </c>
      <c r="I71" s="105">
        <f t="shared" si="23"/>
        <v>2003969.97</v>
      </c>
      <c r="J71" s="105">
        <f>SUM(J63:J70)</f>
        <v>3948409.9699999997</v>
      </c>
    </row>
    <row r="72" spans="1:10" ht="19.899999999999999" customHeight="1" thickTop="1" x14ac:dyDescent="0.5">
      <c r="A72" s="86" t="s">
        <v>27</v>
      </c>
      <c r="B72" s="104">
        <v>0</v>
      </c>
      <c r="C72" s="104">
        <v>0</v>
      </c>
      <c r="D72" s="104">
        <v>0</v>
      </c>
      <c r="E72" s="104">
        <v>0</v>
      </c>
      <c r="F72" s="104">
        <v>0</v>
      </c>
      <c r="G72" s="104">
        <v>0</v>
      </c>
      <c r="H72" s="104">
        <v>0</v>
      </c>
      <c r="I72" s="104">
        <v>0</v>
      </c>
      <c r="J72" s="104">
        <v>0</v>
      </c>
    </row>
    <row r="73" spans="1:10" ht="19.899999999999999" customHeight="1" x14ac:dyDescent="0.5">
      <c r="A73" s="91" t="s">
        <v>38</v>
      </c>
      <c r="B73" s="92">
        <f>SUM(B71:B72)</f>
        <v>551810</v>
      </c>
      <c r="C73" s="92">
        <f t="shared" ref="C73:J73" si="24">SUM(C71:C72)</f>
        <v>617840</v>
      </c>
      <c r="D73" s="92">
        <f t="shared" si="24"/>
        <v>630870</v>
      </c>
      <c r="E73" s="93" t="e">
        <f t="shared" si="24"/>
        <v>#REF!</v>
      </c>
      <c r="F73" s="92">
        <f t="shared" si="24"/>
        <v>683066.97</v>
      </c>
      <c r="G73" s="92">
        <f t="shared" si="24"/>
        <v>706793</v>
      </c>
      <c r="H73" s="92">
        <f t="shared" si="24"/>
        <v>614110</v>
      </c>
      <c r="I73" s="93">
        <f t="shared" si="24"/>
        <v>2003969.97</v>
      </c>
      <c r="J73" s="92">
        <f t="shared" si="24"/>
        <v>3948409.9699999997</v>
      </c>
    </row>
    <row r="75" spans="1:10" ht="21" customHeight="1" x14ac:dyDescent="0.5">
      <c r="B75" s="112">
        <f t="shared" ref="B75:J75" si="25">SUM(B68:B69)</f>
        <v>0</v>
      </c>
      <c r="C75" s="112">
        <f t="shared" si="25"/>
        <v>0</v>
      </c>
      <c r="D75" s="112">
        <f t="shared" si="25"/>
        <v>0</v>
      </c>
      <c r="E75" s="112">
        <f t="shared" si="25"/>
        <v>0</v>
      </c>
      <c r="F75" s="112">
        <f t="shared" si="25"/>
        <v>0</v>
      </c>
      <c r="G75" s="112">
        <f t="shared" si="25"/>
        <v>0</v>
      </c>
      <c r="H75" s="112">
        <f t="shared" si="25"/>
        <v>0</v>
      </c>
      <c r="I75" s="112">
        <f t="shared" si="25"/>
        <v>0</v>
      </c>
      <c r="J75" s="112">
        <f t="shared" si="25"/>
        <v>0</v>
      </c>
    </row>
    <row r="86" spans="1:10" ht="21" customHeight="1" x14ac:dyDescent="0.5">
      <c r="A86" s="193" t="s">
        <v>68</v>
      </c>
      <c r="B86" s="193"/>
      <c r="C86" s="193"/>
      <c r="D86" s="193"/>
      <c r="E86" s="193"/>
      <c r="F86" s="193"/>
      <c r="G86" s="193"/>
      <c r="H86" s="193"/>
      <c r="I86" s="193"/>
      <c r="J86" s="193"/>
    </row>
    <row r="87" spans="1:10" ht="21" customHeight="1" x14ac:dyDescent="0.5">
      <c r="A87" s="193" t="s">
        <v>55</v>
      </c>
      <c r="B87" s="193"/>
      <c r="C87" s="193"/>
      <c r="D87" s="193"/>
      <c r="E87" s="193"/>
      <c r="F87" s="193"/>
      <c r="G87" s="193"/>
      <c r="H87" s="193"/>
      <c r="I87" s="193"/>
      <c r="J87" s="193"/>
    </row>
    <row r="88" spans="1:10" ht="21" customHeight="1" x14ac:dyDescent="0.5">
      <c r="A88" s="192" t="s">
        <v>79</v>
      </c>
      <c r="B88" s="192"/>
      <c r="C88" s="192"/>
      <c r="D88" s="192"/>
      <c r="E88" s="192"/>
      <c r="F88" s="192"/>
      <c r="G88" s="192"/>
      <c r="H88" s="192"/>
      <c r="I88" s="192"/>
      <c r="J88" s="192"/>
    </row>
    <row r="89" spans="1:10" s="81" customFormat="1" ht="33" customHeight="1" x14ac:dyDescent="0.5">
      <c r="A89" s="6" t="s">
        <v>47</v>
      </c>
      <c r="B89" s="7" t="s">
        <v>80</v>
      </c>
      <c r="C89" s="7" t="s">
        <v>81</v>
      </c>
      <c r="D89" s="7" t="s">
        <v>82</v>
      </c>
      <c r="E89" s="7" t="s">
        <v>30</v>
      </c>
      <c r="F89" s="7" t="s">
        <v>83</v>
      </c>
      <c r="G89" s="7" t="s">
        <v>84</v>
      </c>
      <c r="H89" s="7" t="s">
        <v>85</v>
      </c>
      <c r="I89" s="7" t="s">
        <v>31</v>
      </c>
      <c r="J89" s="80" t="s">
        <v>6</v>
      </c>
    </row>
    <row r="90" spans="1:10" ht="19.899999999999999" customHeight="1" x14ac:dyDescent="0.5">
      <c r="A90" s="83" t="s">
        <v>10</v>
      </c>
      <c r="B90" s="84"/>
      <c r="C90" s="84"/>
      <c r="D90" s="84"/>
      <c r="E90" s="85"/>
      <c r="F90" s="84"/>
      <c r="G90" s="84"/>
      <c r="H90" s="84"/>
      <c r="I90" s="85"/>
      <c r="J90" s="84"/>
    </row>
    <row r="91" spans="1:10" ht="19.899999999999999" customHeight="1" x14ac:dyDescent="0.5">
      <c r="A91" s="88" t="s">
        <v>50</v>
      </c>
      <c r="B91" s="107">
        <v>192610</v>
      </c>
      <c r="C91" s="107">
        <v>279853.53999999998</v>
      </c>
      <c r="D91" s="107">
        <v>256421.62</v>
      </c>
      <c r="E91" s="87"/>
      <c r="F91" s="107">
        <v>209579.03</v>
      </c>
      <c r="G91" s="107">
        <v>210160</v>
      </c>
      <c r="H91" s="107">
        <v>210160</v>
      </c>
      <c r="I91" s="87">
        <f t="shared" ref="I91:I98" si="26">F91+G91+H91</f>
        <v>629899.03</v>
      </c>
      <c r="J91" s="108">
        <f>SUM(B91:H91)</f>
        <v>1358784.19</v>
      </c>
    </row>
    <row r="92" spans="1:10" ht="19.899999999999999" customHeight="1" x14ac:dyDescent="0.5">
      <c r="A92" s="88" t="s">
        <v>32</v>
      </c>
      <c r="B92" s="107">
        <v>0</v>
      </c>
      <c r="C92" s="107">
        <v>0</v>
      </c>
      <c r="D92" s="107">
        <v>0</v>
      </c>
      <c r="E92" s="87">
        <f t="shared" ref="E92:E96" si="27">B92+C92+D92</f>
        <v>0</v>
      </c>
      <c r="F92" s="107">
        <v>0</v>
      </c>
      <c r="G92" s="107">
        <v>0</v>
      </c>
      <c r="H92" s="107">
        <v>0</v>
      </c>
      <c r="I92" s="87">
        <f t="shared" si="26"/>
        <v>0</v>
      </c>
      <c r="J92" s="108">
        <f t="shared" ref="J92:J97" si="28">SUM(B92:H92)</f>
        <v>0</v>
      </c>
    </row>
    <row r="93" spans="1:10" ht="19.899999999999999" customHeight="1" x14ac:dyDescent="0.5">
      <c r="A93" s="88" t="s">
        <v>33</v>
      </c>
      <c r="B93" s="107">
        <v>0</v>
      </c>
      <c r="C93" s="107">
        <v>26800</v>
      </c>
      <c r="D93" s="107">
        <v>94900</v>
      </c>
      <c r="E93" s="87">
        <f t="shared" si="27"/>
        <v>121700</v>
      </c>
      <c r="F93" s="107">
        <v>74300</v>
      </c>
      <c r="G93" s="107">
        <v>28460</v>
      </c>
      <c r="H93" s="107">
        <v>99638.35</v>
      </c>
      <c r="I93" s="87">
        <f t="shared" si="26"/>
        <v>202398.35</v>
      </c>
      <c r="J93" s="108">
        <f t="shared" si="28"/>
        <v>445798.35</v>
      </c>
    </row>
    <row r="94" spans="1:10" ht="19.899999999999999" customHeight="1" x14ac:dyDescent="0.5">
      <c r="A94" s="88" t="s">
        <v>34</v>
      </c>
      <c r="B94" s="107">
        <v>29690.42</v>
      </c>
      <c r="C94" s="107">
        <v>8925</v>
      </c>
      <c r="D94" s="107">
        <v>9825.6299999999992</v>
      </c>
      <c r="E94" s="87">
        <f t="shared" si="27"/>
        <v>48441.049999999996</v>
      </c>
      <c r="F94" s="107">
        <v>12855.37</v>
      </c>
      <c r="G94" s="107">
        <v>11711.59</v>
      </c>
      <c r="H94" s="107">
        <v>12840.3</v>
      </c>
      <c r="I94" s="87">
        <f t="shared" si="26"/>
        <v>37407.259999999995</v>
      </c>
      <c r="J94" s="108">
        <f t="shared" si="28"/>
        <v>134289.35999999999</v>
      </c>
    </row>
    <row r="95" spans="1:10" ht="19.899999999999999" customHeight="1" x14ac:dyDescent="0.5">
      <c r="A95" s="88" t="s">
        <v>35</v>
      </c>
      <c r="B95" s="107">
        <v>0</v>
      </c>
      <c r="C95" s="107">
        <v>0</v>
      </c>
      <c r="D95" s="107">
        <v>0</v>
      </c>
      <c r="E95" s="87">
        <f t="shared" si="27"/>
        <v>0</v>
      </c>
      <c r="F95" s="107">
        <v>0</v>
      </c>
      <c r="G95" s="107">
        <v>0</v>
      </c>
      <c r="H95" s="107">
        <v>0</v>
      </c>
      <c r="I95" s="87">
        <f t="shared" si="26"/>
        <v>0</v>
      </c>
      <c r="J95" s="108">
        <f t="shared" si="28"/>
        <v>0</v>
      </c>
    </row>
    <row r="96" spans="1:10" ht="19.899999999999999" customHeight="1" x14ac:dyDescent="0.5">
      <c r="A96" s="88" t="s">
        <v>36</v>
      </c>
      <c r="B96" s="107">
        <v>0</v>
      </c>
      <c r="C96" s="107">
        <v>0</v>
      </c>
      <c r="D96" s="107">
        <v>0</v>
      </c>
      <c r="E96" s="87">
        <f t="shared" si="27"/>
        <v>0</v>
      </c>
      <c r="F96" s="107">
        <v>0</v>
      </c>
      <c r="G96" s="107">
        <v>0</v>
      </c>
      <c r="H96" s="107">
        <v>0</v>
      </c>
      <c r="I96" s="87">
        <f t="shared" si="26"/>
        <v>0</v>
      </c>
      <c r="J96" s="108">
        <f t="shared" si="28"/>
        <v>0</v>
      </c>
    </row>
    <row r="97" spans="1:10" ht="19.899999999999999" customHeight="1" x14ac:dyDescent="0.5">
      <c r="A97" s="89" t="s">
        <v>71</v>
      </c>
      <c r="B97" s="110">
        <v>0</v>
      </c>
      <c r="C97" s="110">
        <v>0</v>
      </c>
      <c r="E97" s="106">
        <f>B97+C97+D98</f>
        <v>0</v>
      </c>
      <c r="F97" s="110">
        <v>0</v>
      </c>
      <c r="G97" s="110">
        <v>0</v>
      </c>
      <c r="H97" s="110">
        <v>0</v>
      </c>
      <c r="I97" s="106">
        <f t="shared" si="26"/>
        <v>0</v>
      </c>
      <c r="J97" s="108">
        <f t="shared" si="28"/>
        <v>0</v>
      </c>
    </row>
    <row r="98" spans="1:10" ht="19.899999999999999" customHeight="1" x14ac:dyDescent="0.5">
      <c r="A98" s="90" t="s">
        <v>72</v>
      </c>
      <c r="B98" s="166">
        <v>0</v>
      </c>
      <c r="C98" s="166">
        <v>0</v>
      </c>
      <c r="D98" s="110">
        <v>0</v>
      </c>
      <c r="E98" s="167" t="e">
        <f>B98+C98+#REF!</f>
        <v>#REF!</v>
      </c>
      <c r="F98" s="107">
        <v>0</v>
      </c>
      <c r="G98" s="166">
        <v>0</v>
      </c>
      <c r="H98" s="166">
        <v>0</v>
      </c>
      <c r="I98" s="167">
        <f t="shared" si="26"/>
        <v>0</v>
      </c>
      <c r="J98" s="108">
        <v>0</v>
      </c>
    </row>
    <row r="99" spans="1:10" ht="19.899999999999999" customHeight="1" thickBot="1" x14ac:dyDescent="0.55000000000000004">
      <c r="A99" s="91" t="s">
        <v>37</v>
      </c>
      <c r="B99" s="105">
        <f>SUM(B91:B98)</f>
        <v>222300.41999999998</v>
      </c>
      <c r="C99" s="105">
        <f t="shared" ref="C99" si="29">SUM(C91:C98)</f>
        <v>315578.53999999998</v>
      </c>
      <c r="D99" s="105">
        <f>SUM(D91:D98)</f>
        <v>361147.25</v>
      </c>
      <c r="E99" s="105" t="e">
        <f t="shared" ref="E99:I99" si="30">SUM(E91:E98)</f>
        <v>#REF!</v>
      </c>
      <c r="F99" s="105">
        <f t="shared" si="30"/>
        <v>296734.40000000002</v>
      </c>
      <c r="G99" s="105">
        <f t="shared" si="30"/>
        <v>250331.59</v>
      </c>
      <c r="H99" s="105">
        <f t="shared" si="30"/>
        <v>322638.64999999997</v>
      </c>
      <c r="I99" s="105">
        <f t="shared" si="30"/>
        <v>869704.64</v>
      </c>
      <c r="J99" s="105">
        <f>SUM(J91:J98)</f>
        <v>1938871.9</v>
      </c>
    </row>
    <row r="100" spans="1:10" ht="19.899999999999999" customHeight="1" thickTop="1" x14ac:dyDescent="0.5">
      <c r="A100" s="86" t="s">
        <v>27</v>
      </c>
      <c r="B100" s="104">
        <v>0</v>
      </c>
      <c r="C100" s="104">
        <v>0</v>
      </c>
      <c r="D100" s="104">
        <v>0</v>
      </c>
      <c r="E100" s="104">
        <v>0</v>
      </c>
      <c r="F100" s="104">
        <v>0</v>
      </c>
      <c r="G100" s="104">
        <v>0</v>
      </c>
      <c r="H100" s="104">
        <v>0</v>
      </c>
      <c r="I100" s="104">
        <v>0</v>
      </c>
      <c r="J100" s="104">
        <v>0</v>
      </c>
    </row>
    <row r="101" spans="1:10" ht="19.899999999999999" customHeight="1" x14ac:dyDescent="0.5">
      <c r="A101" s="91" t="s">
        <v>38</v>
      </c>
      <c r="B101" s="92">
        <f>SUM(B99:B100)</f>
        <v>222300.41999999998</v>
      </c>
      <c r="C101" s="92">
        <f t="shared" ref="C101:J101" si="31">SUM(C99:C100)</f>
        <v>315578.53999999998</v>
      </c>
      <c r="D101" s="92">
        <f t="shared" si="31"/>
        <v>361147.25</v>
      </c>
      <c r="E101" s="93" t="e">
        <f t="shared" si="31"/>
        <v>#REF!</v>
      </c>
      <c r="F101" s="92">
        <f t="shared" si="31"/>
        <v>296734.40000000002</v>
      </c>
      <c r="G101" s="92">
        <f t="shared" si="31"/>
        <v>250331.59</v>
      </c>
      <c r="H101" s="92">
        <f t="shared" si="31"/>
        <v>322638.64999999997</v>
      </c>
      <c r="I101" s="93">
        <f t="shared" si="31"/>
        <v>869704.64</v>
      </c>
      <c r="J101" s="92">
        <f t="shared" si="31"/>
        <v>1938871.9</v>
      </c>
    </row>
    <row r="103" spans="1:10" ht="21" customHeight="1" x14ac:dyDescent="0.5">
      <c r="B103" s="112">
        <f t="shared" ref="B103:J103" si="32">SUM(B96:B97)</f>
        <v>0</v>
      </c>
      <c r="C103" s="112">
        <f t="shared" si="32"/>
        <v>0</v>
      </c>
      <c r="D103" s="112">
        <f t="shared" si="32"/>
        <v>0</v>
      </c>
      <c r="E103" s="112">
        <f t="shared" si="32"/>
        <v>0</v>
      </c>
      <c r="F103" s="112">
        <f t="shared" si="32"/>
        <v>0</v>
      </c>
      <c r="G103" s="112">
        <f t="shared" si="32"/>
        <v>0</v>
      </c>
      <c r="H103" s="112">
        <f t="shared" si="32"/>
        <v>0</v>
      </c>
      <c r="I103" s="112">
        <f t="shared" si="32"/>
        <v>0</v>
      </c>
      <c r="J103" s="112">
        <f t="shared" si="32"/>
        <v>0</v>
      </c>
    </row>
    <row r="114" spans="1:10" ht="21" customHeight="1" x14ac:dyDescent="0.5">
      <c r="A114" s="193" t="s">
        <v>68</v>
      </c>
      <c r="B114" s="193"/>
      <c r="C114" s="193"/>
      <c r="D114" s="193"/>
      <c r="E114" s="193"/>
      <c r="F114" s="193"/>
      <c r="G114" s="193"/>
      <c r="H114" s="193"/>
      <c r="I114" s="193"/>
      <c r="J114" s="193"/>
    </row>
    <row r="115" spans="1:10" ht="21" customHeight="1" x14ac:dyDescent="0.5">
      <c r="A115" s="193" t="s">
        <v>56</v>
      </c>
      <c r="B115" s="193"/>
      <c r="C115" s="193"/>
      <c r="D115" s="193"/>
      <c r="E115" s="193"/>
      <c r="F115" s="193"/>
      <c r="G115" s="193"/>
      <c r="H115" s="193"/>
      <c r="I115" s="193"/>
      <c r="J115" s="193"/>
    </row>
    <row r="116" spans="1:10" ht="21" customHeight="1" x14ac:dyDescent="0.5">
      <c r="A116" s="192" t="s">
        <v>79</v>
      </c>
      <c r="B116" s="192"/>
      <c r="C116" s="192"/>
      <c r="D116" s="192"/>
      <c r="E116" s="192"/>
      <c r="F116" s="192"/>
      <c r="G116" s="192"/>
      <c r="H116" s="192"/>
      <c r="I116" s="192"/>
      <c r="J116" s="192"/>
    </row>
    <row r="117" spans="1:10" s="81" customFormat="1" ht="33" customHeight="1" x14ac:dyDescent="0.5">
      <c r="A117" s="6" t="s">
        <v>47</v>
      </c>
      <c r="B117" s="7" t="s">
        <v>80</v>
      </c>
      <c r="C117" s="7" t="s">
        <v>81</v>
      </c>
      <c r="D117" s="7" t="s">
        <v>82</v>
      </c>
      <c r="E117" s="7" t="s">
        <v>30</v>
      </c>
      <c r="F117" s="7" t="s">
        <v>83</v>
      </c>
      <c r="G117" s="7" t="s">
        <v>84</v>
      </c>
      <c r="H117" s="7" t="s">
        <v>85</v>
      </c>
      <c r="I117" s="7" t="s">
        <v>31</v>
      </c>
      <c r="J117" s="80" t="s">
        <v>6</v>
      </c>
    </row>
    <row r="118" spans="1:10" ht="19.899999999999999" customHeight="1" x14ac:dyDescent="0.5">
      <c r="A118" s="83" t="s">
        <v>10</v>
      </c>
      <c r="B118" s="84"/>
      <c r="C118" s="84"/>
      <c r="D118" s="84"/>
      <c r="E118" s="85"/>
      <c r="F118" s="84"/>
      <c r="G118" s="84"/>
      <c r="H118" s="84"/>
      <c r="I118" s="85"/>
      <c r="J118" s="84"/>
    </row>
    <row r="119" spans="1:10" ht="19.899999999999999" customHeight="1" x14ac:dyDescent="0.5">
      <c r="A119" s="88" t="s">
        <v>50</v>
      </c>
      <c r="B119" s="107">
        <v>313767.42</v>
      </c>
      <c r="C119" s="107">
        <v>274019.36</v>
      </c>
      <c r="D119" s="107">
        <v>332468.39</v>
      </c>
      <c r="E119" s="87"/>
      <c r="F119" s="107">
        <v>254977.48</v>
      </c>
      <c r="G119" s="107">
        <v>257742.58</v>
      </c>
      <c r="H119" s="107">
        <v>252420</v>
      </c>
      <c r="I119" s="87">
        <f t="shared" ref="I119:I126" si="33">F119+G119+H119</f>
        <v>765140.06</v>
      </c>
      <c r="J119" s="108">
        <f>SUM(B119:H119)</f>
        <v>1685395.2300000002</v>
      </c>
    </row>
    <row r="120" spans="1:10" ht="19.899999999999999" customHeight="1" x14ac:dyDescent="0.5">
      <c r="A120" s="88" t="s">
        <v>32</v>
      </c>
      <c r="B120" s="107">
        <v>0</v>
      </c>
      <c r="C120" s="107">
        <v>5000</v>
      </c>
      <c r="D120" s="107">
        <v>0</v>
      </c>
      <c r="E120" s="87">
        <f t="shared" ref="E120:E124" si="34">B120+C120+D120</f>
        <v>5000</v>
      </c>
      <c r="F120" s="107">
        <v>0</v>
      </c>
      <c r="G120" s="107">
        <v>0</v>
      </c>
      <c r="H120" s="107">
        <v>0</v>
      </c>
      <c r="I120" s="87">
        <f t="shared" si="33"/>
        <v>0</v>
      </c>
      <c r="J120" s="108">
        <f t="shared" ref="J120:J125" si="35">SUM(B120:H120)</f>
        <v>10000</v>
      </c>
    </row>
    <row r="121" spans="1:10" ht="19.899999999999999" customHeight="1" x14ac:dyDescent="0.5">
      <c r="A121" s="88" t="s">
        <v>33</v>
      </c>
      <c r="B121" s="107">
        <v>0</v>
      </c>
      <c r="C121" s="107">
        <v>24560</v>
      </c>
      <c r="D121" s="107">
        <v>74280</v>
      </c>
      <c r="E121" s="87">
        <f t="shared" si="34"/>
        <v>98840</v>
      </c>
      <c r="F121" s="107">
        <v>48760</v>
      </c>
      <c r="G121" s="107">
        <v>51790</v>
      </c>
      <c r="H121" s="107">
        <v>161440</v>
      </c>
      <c r="I121" s="87">
        <f t="shared" si="33"/>
        <v>261990</v>
      </c>
      <c r="J121" s="108">
        <f t="shared" si="35"/>
        <v>459670</v>
      </c>
    </row>
    <row r="122" spans="1:10" ht="19.899999999999999" customHeight="1" x14ac:dyDescent="0.5">
      <c r="A122" s="88" t="s">
        <v>34</v>
      </c>
      <c r="B122" s="107">
        <v>0</v>
      </c>
      <c r="C122" s="107">
        <v>1193</v>
      </c>
      <c r="D122" s="107">
        <v>379</v>
      </c>
      <c r="E122" s="87">
        <f t="shared" si="34"/>
        <v>1572</v>
      </c>
      <c r="F122" s="107">
        <v>45838</v>
      </c>
      <c r="G122" s="107">
        <v>0</v>
      </c>
      <c r="H122" s="107">
        <v>94461</v>
      </c>
      <c r="I122" s="87">
        <f t="shared" si="33"/>
        <v>140299</v>
      </c>
      <c r="J122" s="108">
        <f t="shared" si="35"/>
        <v>143443</v>
      </c>
    </row>
    <row r="123" spans="1:10" ht="19.899999999999999" customHeight="1" x14ac:dyDescent="0.5">
      <c r="A123" s="88" t="s">
        <v>35</v>
      </c>
      <c r="B123" s="107">
        <f>B150+B182+B210+B238+B266+B294+B323+B352+B381+B410</f>
        <v>0</v>
      </c>
      <c r="C123" s="107">
        <v>0</v>
      </c>
      <c r="D123" s="107">
        <v>0</v>
      </c>
      <c r="E123" s="87">
        <f t="shared" si="34"/>
        <v>0</v>
      </c>
      <c r="F123" s="107">
        <v>0</v>
      </c>
      <c r="G123" s="107">
        <v>0</v>
      </c>
      <c r="H123" s="107">
        <v>0</v>
      </c>
      <c r="I123" s="87">
        <f t="shared" si="33"/>
        <v>0</v>
      </c>
      <c r="J123" s="108">
        <f t="shared" si="35"/>
        <v>0</v>
      </c>
    </row>
    <row r="124" spans="1:10" ht="19.899999999999999" customHeight="1" x14ac:dyDescent="0.5">
      <c r="A124" s="88" t="s">
        <v>36</v>
      </c>
      <c r="B124" s="107">
        <v>0</v>
      </c>
      <c r="C124" s="107">
        <v>0</v>
      </c>
      <c r="D124" s="107">
        <v>0</v>
      </c>
      <c r="E124" s="87">
        <f t="shared" si="34"/>
        <v>0</v>
      </c>
      <c r="F124" s="107">
        <v>0</v>
      </c>
      <c r="G124" s="107">
        <v>0</v>
      </c>
      <c r="H124" s="107">
        <v>0</v>
      </c>
      <c r="I124" s="87">
        <f t="shared" si="33"/>
        <v>0</v>
      </c>
      <c r="J124" s="108">
        <f t="shared" si="35"/>
        <v>0</v>
      </c>
    </row>
    <row r="125" spans="1:10" ht="19.899999999999999" customHeight="1" x14ac:dyDescent="0.5">
      <c r="A125" s="89" t="s">
        <v>71</v>
      </c>
      <c r="B125" s="110">
        <v>0</v>
      </c>
      <c r="C125" s="110">
        <v>0</v>
      </c>
      <c r="D125" s="94">
        <v>0</v>
      </c>
      <c r="E125" s="106">
        <f>B125+C125+D126</f>
        <v>39000</v>
      </c>
      <c r="F125" s="110">
        <v>0</v>
      </c>
      <c r="G125" s="110">
        <v>0</v>
      </c>
      <c r="H125" s="110">
        <v>0</v>
      </c>
      <c r="I125" s="106">
        <f t="shared" si="33"/>
        <v>0</v>
      </c>
      <c r="J125" s="108">
        <f t="shared" si="35"/>
        <v>39000</v>
      </c>
    </row>
    <row r="126" spans="1:10" ht="19.899999999999999" customHeight="1" x14ac:dyDescent="0.5">
      <c r="A126" s="90" t="s">
        <v>72</v>
      </c>
      <c r="B126" s="166">
        <v>0</v>
      </c>
      <c r="C126" s="166">
        <v>0</v>
      </c>
      <c r="D126" s="110">
        <v>39000</v>
      </c>
      <c r="E126" s="167" t="e">
        <f>B126+C126+#REF!</f>
        <v>#REF!</v>
      </c>
      <c r="F126" s="107">
        <v>0</v>
      </c>
      <c r="G126" s="166">
        <v>0</v>
      </c>
      <c r="H126" s="166">
        <v>0</v>
      </c>
      <c r="I126" s="167">
        <f t="shared" si="33"/>
        <v>0</v>
      </c>
      <c r="J126" s="108">
        <v>0</v>
      </c>
    </row>
    <row r="127" spans="1:10" ht="19.899999999999999" customHeight="1" thickBot="1" x14ac:dyDescent="0.55000000000000004">
      <c r="A127" s="91" t="s">
        <v>37</v>
      </c>
      <c r="B127" s="105">
        <f>SUM(B119:B126)</f>
        <v>313767.42</v>
      </c>
      <c r="C127" s="105">
        <f t="shared" ref="C127" si="36">SUM(C119:C126)</f>
        <v>304772.36</v>
      </c>
      <c r="D127" s="105">
        <f>SUM(D119:D126)</f>
        <v>446127.39</v>
      </c>
      <c r="E127" s="105" t="e">
        <f t="shared" ref="E127:I127" si="37">SUM(E119:E126)</f>
        <v>#REF!</v>
      </c>
      <c r="F127" s="105">
        <f t="shared" si="37"/>
        <v>349575.48</v>
      </c>
      <c r="G127" s="105">
        <f t="shared" si="37"/>
        <v>309532.57999999996</v>
      </c>
      <c r="H127" s="105">
        <f t="shared" si="37"/>
        <v>508321</v>
      </c>
      <c r="I127" s="105">
        <f t="shared" si="37"/>
        <v>1167429.06</v>
      </c>
      <c r="J127" s="105">
        <f>SUM(J119:J126)</f>
        <v>2337508.2300000004</v>
      </c>
    </row>
    <row r="128" spans="1:10" ht="19.899999999999999" customHeight="1" thickTop="1" x14ac:dyDescent="0.5">
      <c r="A128" s="86" t="s">
        <v>27</v>
      </c>
      <c r="B128" s="104">
        <v>0</v>
      </c>
      <c r="C128" s="104">
        <v>0</v>
      </c>
      <c r="D128" s="104">
        <v>0</v>
      </c>
      <c r="E128" s="104">
        <v>0</v>
      </c>
      <c r="F128" s="104">
        <v>0</v>
      </c>
      <c r="G128" s="104">
        <v>0</v>
      </c>
      <c r="H128" s="104">
        <v>0</v>
      </c>
      <c r="I128" s="104">
        <v>0</v>
      </c>
      <c r="J128" s="104">
        <v>0</v>
      </c>
    </row>
    <row r="129" spans="1:10" ht="19.899999999999999" customHeight="1" x14ac:dyDescent="0.5">
      <c r="A129" s="91" t="s">
        <v>38</v>
      </c>
      <c r="B129" s="92">
        <f>SUM(B127:B128)</f>
        <v>313767.42</v>
      </c>
      <c r="C129" s="92">
        <f t="shared" ref="C129:J129" si="38">SUM(C127:C128)</f>
        <v>304772.36</v>
      </c>
      <c r="D129" s="92">
        <f t="shared" si="38"/>
        <v>446127.39</v>
      </c>
      <c r="E129" s="93" t="e">
        <f t="shared" si="38"/>
        <v>#REF!</v>
      </c>
      <c r="F129" s="92">
        <f t="shared" si="38"/>
        <v>349575.48</v>
      </c>
      <c r="G129" s="92">
        <f t="shared" si="38"/>
        <v>309532.57999999996</v>
      </c>
      <c r="H129" s="92">
        <f t="shared" si="38"/>
        <v>508321</v>
      </c>
      <c r="I129" s="93">
        <f t="shared" si="38"/>
        <v>1167429.06</v>
      </c>
      <c r="J129" s="92">
        <f t="shared" si="38"/>
        <v>2337508.2300000004</v>
      </c>
    </row>
    <row r="131" spans="1:10" ht="21" customHeight="1" x14ac:dyDescent="0.5">
      <c r="B131" s="112">
        <f t="shared" ref="B131:J131" si="39">SUM(B124:B125)</f>
        <v>0</v>
      </c>
      <c r="C131" s="112">
        <f t="shared" si="39"/>
        <v>0</v>
      </c>
      <c r="D131" s="112">
        <f t="shared" si="39"/>
        <v>0</v>
      </c>
      <c r="E131" s="112">
        <f t="shared" si="39"/>
        <v>39000</v>
      </c>
      <c r="F131" s="112">
        <f t="shared" si="39"/>
        <v>0</v>
      </c>
      <c r="G131" s="112">
        <f t="shared" si="39"/>
        <v>0</v>
      </c>
      <c r="H131" s="112">
        <f t="shared" si="39"/>
        <v>0</v>
      </c>
      <c r="I131" s="112">
        <f t="shared" si="39"/>
        <v>0</v>
      </c>
      <c r="J131" s="112">
        <f t="shared" si="39"/>
        <v>39000</v>
      </c>
    </row>
    <row r="142" spans="1:10" ht="21" customHeight="1" x14ac:dyDescent="0.5">
      <c r="A142" s="193" t="s">
        <v>68</v>
      </c>
      <c r="B142" s="193"/>
      <c r="C142" s="193"/>
      <c r="D142" s="193"/>
      <c r="E142" s="193"/>
      <c r="F142" s="193"/>
      <c r="G142" s="193"/>
      <c r="H142" s="193"/>
      <c r="I142" s="193"/>
      <c r="J142" s="193"/>
    </row>
    <row r="143" spans="1:10" ht="21" customHeight="1" x14ac:dyDescent="0.5">
      <c r="A143" s="193" t="s">
        <v>57</v>
      </c>
      <c r="B143" s="193"/>
      <c r="C143" s="193"/>
      <c r="D143" s="193"/>
      <c r="E143" s="193"/>
      <c r="F143" s="193"/>
      <c r="G143" s="193"/>
      <c r="H143" s="193"/>
      <c r="I143" s="193"/>
      <c r="J143" s="193"/>
    </row>
    <row r="144" spans="1:10" ht="21" customHeight="1" x14ac:dyDescent="0.5">
      <c r="A144" s="192" t="s">
        <v>79</v>
      </c>
      <c r="B144" s="192"/>
      <c r="C144" s="192"/>
      <c r="D144" s="192"/>
      <c r="E144" s="192"/>
      <c r="F144" s="192"/>
      <c r="G144" s="192"/>
      <c r="H144" s="192"/>
      <c r="I144" s="192"/>
      <c r="J144" s="192"/>
    </row>
    <row r="145" spans="1:10" s="81" customFormat="1" ht="33" customHeight="1" x14ac:dyDescent="0.5">
      <c r="A145" s="6" t="s">
        <v>47</v>
      </c>
      <c r="B145" s="7" t="s">
        <v>80</v>
      </c>
      <c r="C145" s="7" t="s">
        <v>81</v>
      </c>
      <c r="D145" s="7" t="s">
        <v>82</v>
      </c>
      <c r="E145" s="7" t="s">
        <v>30</v>
      </c>
      <c r="F145" s="7" t="s">
        <v>83</v>
      </c>
      <c r="G145" s="7" t="s">
        <v>84</v>
      </c>
      <c r="H145" s="7" t="s">
        <v>85</v>
      </c>
      <c r="I145" s="7" t="s">
        <v>31</v>
      </c>
      <c r="J145" s="80" t="s">
        <v>6</v>
      </c>
    </row>
    <row r="146" spans="1:10" ht="19.899999999999999" customHeight="1" x14ac:dyDescent="0.5">
      <c r="A146" s="83" t="s">
        <v>10</v>
      </c>
      <c r="B146" s="84"/>
      <c r="C146" s="84"/>
      <c r="D146" s="84"/>
      <c r="E146" s="85"/>
      <c r="F146" s="84"/>
      <c r="G146" s="84"/>
      <c r="H146" s="84"/>
      <c r="I146" s="85"/>
      <c r="J146" s="84"/>
    </row>
    <row r="147" spans="1:10" ht="19.899999999999999" customHeight="1" x14ac:dyDescent="0.5">
      <c r="A147" s="88" t="s">
        <v>50</v>
      </c>
      <c r="B147" s="107">
        <f>3326240+644020</f>
        <v>3970260</v>
      </c>
      <c r="C147" s="107">
        <f>3385290+662070</f>
        <v>4047360</v>
      </c>
      <c r="D147" s="107">
        <f>3326240+644020</f>
        <v>3970260</v>
      </c>
      <c r="E147" s="87"/>
      <c r="F147" s="107">
        <f>4201136.78+788300</f>
        <v>4989436.78</v>
      </c>
      <c r="G147" s="107">
        <f>3560400+686590</f>
        <v>4246990</v>
      </c>
      <c r="H147" s="107">
        <f>3592900+693090</f>
        <v>4285990</v>
      </c>
      <c r="I147" s="87">
        <f t="shared" ref="I147:I154" si="40">F147+G147+H147</f>
        <v>13522416.780000001</v>
      </c>
      <c r="J147" s="108">
        <f>SUM(B147:H147)</f>
        <v>25510296.780000001</v>
      </c>
    </row>
    <row r="148" spans="1:10" ht="19.899999999999999" customHeight="1" x14ac:dyDescent="0.5">
      <c r="A148" s="88" t="s">
        <v>32</v>
      </c>
      <c r="B148" s="107">
        <f>1560000+264000</f>
        <v>1824000</v>
      </c>
      <c r="C148" s="107">
        <f>2515049.45+449731</f>
        <v>2964780.45</v>
      </c>
      <c r="D148" s="107">
        <f>1792154.02+351865.34</f>
        <v>2144019.36</v>
      </c>
      <c r="E148" s="87">
        <f t="shared" ref="E148:E152" si="41">B148+C148+D148</f>
        <v>6932799.8100000005</v>
      </c>
      <c r="F148" s="107">
        <f>1781000+324997.88</f>
        <v>2105997.88</v>
      </c>
      <c r="G148" s="107">
        <f>1868225.1+349741.03</f>
        <v>2217966.13</v>
      </c>
      <c r="H148" s="107">
        <f>1747106.93+329642.57</f>
        <v>2076749.5</v>
      </c>
      <c r="I148" s="87">
        <f t="shared" si="40"/>
        <v>6400713.5099999998</v>
      </c>
      <c r="J148" s="108">
        <f t="shared" ref="J148:J153" si="42">SUM(B148:H148)</f>
        <v>20266313.129999999</v>
      </c>
    </row>
    <row r="149" spans="1:10" ht="19.899999999999999" customHeight="1" x14ac:dyDescent="0.5">
      <c r="A149" s="88" t="s">
        <v>33</v>
      </c>
      <c r="B149" s="107">
        <v>115730</v>
      </c>
      <c r="C149" s="107">
        <f>1444415+82506</f>
        <v>1526921</v>
      </c>
      <c r="D149" s="107">
        <f>1071316+62674</f>
        <v>1133990</v>
      </c>
      <c r="E149" s="87">
        <f t="shared" si="41"/>
        <v>2776641</v>
      </c>
      <c r="F149" s="107">
        <f>1730535+151959</f>
        <v>1882494</v>
      </c>
      <c r="G149" s="107">
        <f>1410991+335774</f>
        <v>1746765</v>
      </c>
      <c r="H149" s="107">
        <f>1287750+96552</f>
        <v>1384302</v>
      </c>
      <c r="I149" s="87">
        <f t="shared" si="40"/>
        <v>5013561</v>
      </c>
      <c r="J149" s="108">
        <f t="shared" si="42"/>
        <v>10566843</v>
      </c>
    </row>
    <row r="150" spans="1:10" ht="19.899999999999999" customHeight="1" x14ac:dyDescent="0.5">
      <c r="A150" s="88" t="s">
        <v>34</v>
      </c>
      <c r="B150" s="107">
        <v>0</v>
      </c>
      <c r="C150" s="107">
        <v>0</v>
      </c>
      <c r="D150" s="107">
        <v>0</v>
      </c>
      <c r="E150" s="87">
        <f t="shared" si="41"/>
        <v>0</v>
      </c>
      <c r="F150" s="107"/>
      <c r="G150" s="107">
        <v>0</v>
      </c>
      <c r="H150" s="107">
        <v>0</v>
      </c>
      <c r="I150" s="87">
        <f t="shared" si="40"/>
        <v>0</v>
      </c>
      <c r="J150" s="108">
        <f t="shared" si="42"/>
        <v>0</v>
      </c>
    </row>
    <row r="151" spans="1:10" ht="19.899999999999999" customHeight="1" x14ac:dyDescent="0.5">
      <c r="A151" s="88" t="s">
        <v>35</v>
      </c>
      <c r="B151" s="107">
        <f>B178+B210+B238+B266+B294+B323+B352+B381+B410+B439</f>
        <v>0</v>
      </c>
      <c r="C151" s="107">
        <v>0</v>
      </c>
      <c r="D151" s="107">
        <v>0</v>
      </c>
      <c r="E151" s="87">
        <f t="shared" si="41"/>
        <v>0</v>
      </c>
      <c r="F151" s="107"/>
      <c r="G151" s="107">
        <v>0</v>
      </c>
      <c r="H151" s="107">
        <v>0</v>
      </c>
      <c r="I151" s="87">
        <f t="shared" si="40"/>
        <v>0</v>
      </c>
      <c r="J151" s="108">
        <f t="shared" si="42"/>
        <v>0</v>
      </c>
    </row>
    <row r="152" spans="1:10" ht="19.899999999999999" customHeight="1" x14ac:dyDescent="0.5">
      <c r="A152" s="88" t="s">
        <v>36</v>
      </c>
      <c r="B152" s="107">
        <v>0</v>
      </c>
      <c r="C152" s="107">
        <v>0</v>
      </c>
      <c r="D152" s="107">
        <v>0</v>
      </c>
      <c r="E152" s="87">
        <f t="shared" si="41"/>
        <v>0</v>
      </c>
      <c r="F152" s="107">
        <v>0</v>
      </c>
      <c r="G152" s="107">
        <v>0</v>
      </c>
      <c r="H152" s="107">
        <v>0</v>
      </c>
      <c r="I152" s="87">
        <f t="shared" si="40"/>
        <v>0</v>
      </c>
      <c r="J152" s="108">
        <f t="shared" si="42"/>
        <v>0</v>
      </c>
    </row>
    <row r="153" spans="1:10" ht="19.899999999999999" customHeight="1" x14ac:dyDescent="0.5">
      <c r="A153" s="89" t="s">
        <v>71</v>
      </c>
      <c r="B153" s="110">
        <v>0</v>
      </c>
      <c r="C153" s="110">
        <v>0</v>
      </c>
      <c r="E153" s="106">
        <f>B153+C153+D154</f>
        <v>0</v>
      </c>
      <c r="F153" s="110">
        <v>0</v>
      </c>
      <c r="G153" s="110">
        <v>0</v>
      </c>
      <c r="H153" s="110">
        <v>0</v>
      </c>
      <c r="I153" s="106">
        <f t="shared" si="40"/>
        <v>0</v>
      </c>
      <c r="J153" s="108">
        <f t="shared" si="42"/>
        <v>0</v>
      </c>
    </row>
    <row r="154" spans="1:10" ht="19.899999999999999" customHeight="1" x14ac:dyDescent="0.5">
      <c r="A154" s="90" t="s">
        <v>72</v>
      </c>
      <c r="B154" s="166">
        <v>0</v>
      </c>
      <c r="C154" s="166">
        <v>0</v>
      </c>
      <c r="D154" s="110">
        <v>0</v>
      </c>
      <c r="E154" s="167" t="e">
        <f>B154+C154+#REF!</f>
        <v>#REF!</v>
      </c>
      <c r="F154" s="107">
        <v>45500</v>
      </c>
      <c r="G154" s="166">
        <v>4500</v>
      </c>
      <c r="H154" s="166">
        <v>40300</v>
      </c>
      <c r="I154" s="167">
        <f t="shared" si="40"/>
        <v>90300</v>
      </c>
      <c r="J154" s="168">
        <f>SUM(F154:H154)</f>
        <v>90300</v>
      </c>
    </row>
    <row r="155" spans="1:10" ht="19.899999999999999" customHeight="1" thickBot="1" x14ac:dyDescent="0.55000000000000004">
      <c r="A155" s="91" t="s">
        <v>37</v>
      </c>
      <c r="B155" s="105">
        <f>SUM(B147:B154)</f>
        <v>5909990</v>
      </c>
      <c r="C155" s="105">
        <f t="shared" ref="C155" si="43">SUM(C147:C154)</f>
        <v>8539061.4499999993</v>
      </c>
      <c r="D155" s="105">
        <f>SUM(D147:D154)</f>
        <v>7248269.3599999994</v>
      </c>
      <c r="E155" s="105" t="e">
        <f t="shared" ref="E155:I155" si="44">SUM(E147:E154)</f>
        <v>#REF!</v>
      </c>
      <c r="F155" s="105">
        <f t="shared" si="44"/>
        <v>9023428.6600000001</v>
      </c>
      <c r="G155" s="105">
        <f t="shared" si="44"/>
        <v>8216221.1299999999</v>
      </c>
      <c r="H155" s="105">
        <f t="shared" si="44"/>
        <v>7787341.5</v>
      </c>
      <c r="I155" s="105">
        <f t="shared" si="44"/>
        <v>25026991.289999999</v>
      </c>
      <c r="J155" s="105">
        <f>SUM(J147:J154)</f>
        <v>56433752.909999996</v>
      </c>
    </row>
    <row r="156" spans="1:10" ht="19.899999999999999" customHeight="1" thickTop="1" x14ac:dyDescent="0.5">
      <c r="A156" s="86" t="s">
        <v>27</v>
      </c>
      <c r="B156" s="104">
        <v>0</v>
      </c>
      <c r="C156" s="104">
        <v>0</v>
      </c>
      <c r="D156" s="104">
        <v>0</v>
      </c>
      <c r="E156" s="104">
        <v>0</v>
      </c>
      <c r="F156" s="104">
        <v>0</v>
      </c>
      <c r="G156" s="104">
        <v>0</v>
      </c>
      <c r="H156" s="104">
        <v>0</v>
      </c>
      <c r="I156" s="104">
        <v>0</v>
      </c>
      <c r="J156" s="104">
        <v>0</v>
      </c>
    </row>
    <row r="157" spans="1:10" ht="19.899999999999999" customHeight="1" x14ac:dyDescent="0.5">
      <c r="A157" s="91" t="s">
        <v>38</v>
      </c>
      <c r="B157" s="92">
        <f>SUM(B155:B156)</f>
        <v>5909990</v>
      </c>
      <c r="C157" s="92">
        <f t="shared" ref="C157:J157" si="45">SUM(C155:C156)</f>
        <v>8539061.4499999993</v>
      </c>
      <c r="D157" s="92">
        <f t="shared" si="45"/>
        <v>7248269.3599999994</v>
      </c>
      <c r="E157" s="93" t="e">
        <f t="shared" si="45"/>
        <v>#REF!</v>
      </c>
      <c r="F157" s="92">
        <f t="shared" si="45"/>
        <v>9023428.6600000001</v>
      </c>
      <c r="G157" s="92">
        <f t="shared" si="45"/>
        <v>8216221.1299999999</v>
      </c>
      <c r="H157" s="92">
        <f t="shared" si="45"/>
        <v>7787341.5</v>
      </c>
      <c r="I157" s="93">
        <f t="shared" si="45"/>
        <v>25026991.289999999</v>
      </c>
      <c r="J157" s="92">
        <f t="shared" si="45"/>
        <v>56433752.909999996</v>
      </c>
    </row>
    <row r="159" spans="1:10" ht="21" customHeight="1" x14ac:dyDescent="0.5">
      <c r="B159" s="112">
        <f t="shared" ref="B159:J159" si="46">SUM(B152:B153)</f>
        <v>0</v>
      </c>
      <c r="C159" s="112">
        <f t="shared" si="46"/>
        <v>0</v>
      </c>
      <c r="D159" s="112">
        <f t="shared" si="46"/>
        <v>0</v>
      </c>
      <c r="E159" s="112">
        <f t="shared" si="46"/>
        <v>0</v>
      </c>
      <c r="F159" s="112">
        <f t="shared" si="46"/>
        <v>0</v>
      </c>
      <c r="G159" s="112">
        <f t="shared" si="46"/>
        <v>0</v>
      </c>
      <c r="H159" s="112">
        <f t="shared" si="46"/>
        <v>0</v>
      </c>
      <c r="I159" s="112">
        <f t="shared" si="46"/>
        <v>0</v>
      </c>
      <c r="J159" s="112">
        <f t="shared" si="46"/>
        <v>0</v>
      </c>
    </row>
    <row r="170" spans="1:10" ht="21" customHeight="1" x14ac:dyDescent="0.5">
      <c r="A170" s="193" t="s">
        <v>68</v>
      </c>
      <c r="B170" s="193"/>
      <c r="C170" s="193"/>
      <c r="D170" s="193"/>
      <c r="E170" s="193"/>
      <c r="F170" s="193"/>
      <c r="G170" s="193"/>
      <c r="H170" s="193"/>
      <c r="I170" s="193"/>
      <c r="J170" s="193"/>
    </row>
    <row r="171" spans="1:10" ht="21" customHeight="1" x14ac:dyDescent="0.5">
      <c r="A171" s="193" t="s">
        <v>58</v>
      </c>
      <c r="B171" s="193"/>
      <c r="C171" s="193"/>
      <c r="D171" s="193"/>
      <c r="E171" s="193"/>
      <c r="F171" s="193"/>
      <c r="G171" s="193"/>
      <c r="H171" s="193"/>
      <c r="I171" s="193"/>
      <c r="J171" s="193"/>
    </row>
    <row r="172" spans="1:10" ht="21" customHeight="1" x14ac:dyDescent="0.5">
      <c r="A172" s="192" t="s">
        <v>79</v>
      </c>
      <c r="B172" s="192"/>
      <c r="C172" s="192"/>
      <c r="D172" s="192"/>
      <c r="E172" s="192"/>
      <c r="F172" s="192"/>
      <c r="G172" s="192"/>
      <c r="H172" s="192"/>
      <c r="I172" s="192"/>
      <c r="J172" s="192"/>
    </row>
    <row r="173" spans="1:10" s="81" customFormat="1" ht="33" customHeight="1" x14ac:dyDescent="0.5">
      <c r="A173" s="6" t="s">
        <v>47</v>
      </c>
      <c r="B173" s="7" t="s">
        <v>80</v>
      </c>
      <c r="C173" s="7" t="s">
        <v>81</v>
      </c>
      <c r="D173" s="7" t="s">
        <v>82</v>
      </c>
      <c r="E173" s="7" t="s">
        <v>30</v>
      </c>
      <c r="F173" s="7" t="s">
        <v>83</v>
      </c>
      <c r="G173" s="7" t="s">
        <v>84</v>
      </c>
      <c r="H173" s="7" t="s">
        <v>85</v>
      </c>
      <c r="I173" s="7" t="s">
        <v>31</v>
      </c>
      <c r="J173" s="80" t="s">
        <v>6</v>
      </c>
    </row>
    <row r="174" spans="1:10" ht="19.899999999999999" customHeight="1" x14ac:dyDescent="0.5">
      <c r="A174" s="83" t="s">
        <v>10</v>
      </c>
      <c r="B174" s="84"/>
      <c r="C174" s="84"/>
      <c r="D174" s="84"/>
      <c r="E174" s="85"/>
      <c r="F174" s="84"/>
      <c r="G174" s="84"/>
      <c r="H174" s="84"/>
      <c r="I174" s="85"/>
      <c r="J174" s="84"/>
    </row>
    <row r="175" spans="1:10" ht="19.899999999999999" customHeight="1" x14ac:dyDescent="0.5">
      <c r="A175" s="88" t="s">
        <v>50</v>
      </c>
      <c r="B175" s="107">
        <v>840420</v>
      </c>
      <c r="C175" s="107">
        <v>794318.39</v>
      </c>
      <c r="D175" s="107">
        <v>817965.81</v>
      </c>
      <c r="E175" s="87"/>
      <c r="F175" s="107">
        <v>820906.45</v>
      </c>
      <c r="G175" s="107">
        <v>794690</v>
      </c>
      <c r="H175" s="107">
        <v>768924.29</v>
      </c>
      <c r="I175" s="87">
        <f t="shared" ref="I175:I182" si="47">F175+G175+H175</f>
        <v>2384520.7400000002</v>
      </c>
      <c r="J175" s="108">
        <f>SUM(B175:H175)</f>
        <v>4837224.9400000004</v>
      </c>
    </row>
    <row r="176" spans="1:10" ht="19.899999999999999" customHeight="1" x14ac:dyDescent="0.5">
      <c r="A176" s="88" t="s">
        <v>32</v>
      </c>
      <c r="B176" s="107">
        <v>12000</v>
      </c>
      <c r="C176" s="107">
        <v>19000</v>
      </c>
      <c r="D176" s="107">
        <v>13000</v>
      </c>
      <c r="E176" s="87">
        <f t="shared" ref="E176:E180" si="48">B176+C176+D176</f>
        <v>44000</v>
      </c>
      <c r="F176" s="107">
        <v>13000</v>
      </c>
      <c r="G176" s="107">
        <v>13000</v>
      </c>
      <c r="H176" s="107">
        <v>42714.86</v>
      </c>
      <c r="I176" s="87">
        <f t="shared" si="47"/>
        <v>68714.86</v>
      </c>
      <c r="J176" s="108">
        <f t="shared" ref="J176:J181" si="49">SUM(B176:H176)</f>
        <v>156714.85999999999</v>
      </c>
    </row>
    <row r="177" spans="1:10" ht="19.899999999999999" customHeight="1" x14ac:dyDescent="0.5">
      <c r="A177" s="88" t="s">
        <v>33</v>
      </c>
      <c r="B177" s="107">
        <v>0</v>
      </c>
      <c r="C177" s="107">
        <v>221216</v>
      </c>
      <c r="D177" s="107">
        <v>197050</v>
      </c>
      <c r="E177" s="87">
        <f t="shared" si="48"/>
        <v>418266</v>
      </c>
      <c r="F177" s="107">
        <v>256222</v>
      </c>
      <c r="G177" s="107">
        <v>200834</v>
      </c>
      <c r="H177" s="107">
        <v>184909.14</v>
      </c>
      <c r="I177" s="87">
        <f t="shared" si="47"/>
        <v>641965.14</v>
      </c>
      <c r="J177" s="108">
        <f t="shared" si="49"/>
        <v>1478497.1400000001</v>
      </c>
    </row>
    <row r="178" spans="1:10" ht="19.899999999999999" customHeight="1" x14ac:dyDescent="0.5">
      <c r="A178" s="88" t="s">
        <v>34</v>
      </c>
      <c r="B178" s="107">
        <v>0</v>
      </c>
      <c r="C178" s="107">
        <v>0</v>
      </c>
      <c r="D178" s="107">
        <v>0</v>
      </c>
      <c r="E178" s="87">
        <f t="shared" si="48"/>
        <v>0</v>
      </c>
      <c r="F178" s="107">
        <v>0</v>
      </c>
      <c r="G178" s="107">
        <v>0</v>
      </c>
      <c r="H178" s="107">
        <v>0</v>
      </c>
      <c r="I178" s="87">
        <f t="shared" si="47"/>
        <v>0</v>
      </c>
      <c r="J178" s="108">
        <f t="shared" si="49"/>
        <v>0</v>
      </c>
    </row>
    <row r="179" spans="1:10" ht="19.899999999999999" customHeight="1" x14ac:dyDescent="0.5">
      <c r="A179" s="88" t="s">
        <v>35</v>
      </c>
      <c r="B179" s="107">
        <f>B206+B238+B266+B294+B323+B352+B381+B410+B439+B468</f>
        <v>0</v>
      </c>
      <c r="C179" s="107">
        <v>0</v>
      </c>
      <c r="D179" s="107">
        <v>0</v>
      </c>
      <c r="E179" s="87">
        <f t="shared" si="48"/>
        <v>0</v>
      </c>
      <c r="F179" s="107">
        <v>0</v>
      </c>
      <c r="G179" s="107">
        <v>0</v>
      </c>
      <c r="H179" s="107">
        <v>0</v>
      </c>
      <c r="I179" s="87">
        <f t="shared" si="47"/>
        <v>0</v>
      </c>
      <c r="J179" s="108">
        <f t="shared" si="49"/>
        <v>0</v>
      </c>
    </row>
    <row r="180" spans="1:10" ht="19.899999999999999" customHeight="1" x14ac:dyDescent="0.5">
      <c r="A180" s="88" t="s">
        <v>36</v>
      </c>
      <c r="B180" s="107">
        <v>0</v>
      </c>
      <c r="C180" s="107">
        <v>0</v>
      </c>
      <c r="D180" s="107">
        <v>0</v>
      </c>
      <c r="E180" s="87">
        <f t="shared" si="48"/>
        <v>0</v>
      </c>
      <c r="F180" s="107">
        <v>0</v>
      </c>
      <c r="G180" s="107">
        <v>0</v>
      </c>
      <c r="H180" s="107">
        <v>0</v>
      </c>
      <c r="I180" s="87">
        <f t="shared" si="47"/>
        <v>0</v>
      </c>
      <c r="J180" s="108">
        <f t="shared" si="49"/>
        <v>0</v>
      </c>
    </row>
    <row r="181" spans="1:10" ht="19.899999999999999" customHeight="1" x14ac:dyDescent="0.5">
      <c r="A181" s="89" t="s">
        <v>71</v>
      </c>
      <c r="B181" s="110">
        <v>0</v>
      </c>
      <c r="C181" s="110">
        <v>0</v>
      </c>
      <c r="E181" s="106">
        <f>B181+C181+D182</f>
        <v>0</v>
      </c>
      <c r="F181" s="110">
        <v>0</v>
      </c>
      <c r="G181" s="110">
        <v>0</v>
      </c>
      <c r="H181" s="110">
        <v>0</v>
      </c>
      <c r="I181" s="106">
        <f t="shared" si="47"/>
        <v>0</v>
      </c>
      <c r="J181" s="108">
        <f t="shared" si="49"/>
        <v>0</v>
      </c>
    </row>
    <row r="182" spans="1:10" ht="19.899999999999999" customHeight="1" x14ac:dyDescent="0.5">
      <c r="A182" s="90" t="s">
        <v>72</v>
      </c>
      <c r="B182" s="166">
        <v>0</v>
      </c>
      <c r="C182" s="166">
        <v>0</v>
      </c>
      <c r="D182" s="110">
        <v>0</v>
      </c>
      <c r="E182" s="167" t="e">
        <f>B182+C182+#REF!</f>
        <v>#REF!</v>
      </c>
      <c r="F182" s="107">
        <v>0</v>
      </c>
      <c r="G182" s="166">
        <v>0</v>
      </c>
      <c r="H182" s="166">
        <v>0</v>
      </c>
      <c r="I182" s="167">
        <f t="shared" si="47"/>
        <v>0</v>
      </c>
      <c r="J182" s="108">
        <v>0</v>
      </c>
    </row>
    <row r="183" spans="1:10" ht="19.899999999999999" customHeight="1" thickBot="1" x14ac:dyDescent="0.55000000000000004">
      <c r="A183" s="91" t="s">
        <v>37</v>
      </c>
      <c r="B183" s="105">
        <f>SUM(B175:B182)</f>
        <v>852420</v>
      </c>
      <c r="C183" s="105">
        <f t="shared" ref="C183" si="50">SUM(C175:C182)</f>
        <v>1034534.39</v>
      </c>
      <c r="D183" s="105">
        <f>SUM(D175:D182)</f>
        <v>1028015.81</v>
      </c>
      <c r="E183" s="105" t="e">
        <f t="shared" ref="E183:I183" si="51">SUM(E175:E182)</f>
        <v>#REF!</v>
      </c>
      <c r="F183" s="105">
        <f t="shared" si="51"/>
        <v>1090128.45</v>
      </c>
      <c r="G183" s="105">
        <f t="shared" si="51"/>
        <v>1008524</v>
      </c>
      <c r="H183" s="105">
        <f t="shared" si="51"/>
        <v>996548.29</v>
      </c>
      <c r="I183" s="105">
        <f t="shared" si="51"/>
        <v>3095200.74</v>
      </c>
      <c r="J183" s="105">
        <f>SUM(J175:J182)</f>
        <v>6472436.9400000013</v>
      </c>
    </row>
    <row r="184" spans="1:10" ht="19.899999999999999" customHeight="1" thickTop="1" x14ac:dyDescent="0.5">
      <c r="A184" s="86" t="s">
        <v>27</v>
      </c>
      <c r="B184" s="104">
        <v>0</v>
      </c>
      <c r="C184" s="104">
        <v>0</v>
      </c>
      <c r="D184" s="104">
        <v>0</v>
      </c>
      <c r="E184" s="104">
        <v>0</v>
      </c>
      <c r="F184" s="104">
        <v>0</v>
      </c>
      <c r="G184" s="104">
        <v>0</v>
      </c>
      <c r="H184" s="104">
        <v>0</v>
      </c>
      <c r="I184" s="104">
        <v>0</v>
      </c>
      <c r="J184" s="104">
        <v>0</v>
      </c>
    </row>
    <row r="185" spans="1:10" ht="19.899999999999999" customHeight="1" x14ac:dyDescent="0.5">
      <c r="A185" s="91" t="s">
        <v>38</v>
      </c>
      <c r="B185" s="92">
        <f>SUM(B183:B184)</f>
        <v>852420</v>
      </c>
      <c r="C185" s="92">
        <f t="shared" ref="C185:J185" si="52">SUM(C183:C184)</f>
        <v>1034534.39</v>
      </c>
      <c r="D185" s="92">
        <f t="shared" si="52"/>
        <v>1028015.81</v>
      </c>
      <c r="E185" s="93" t="e">
        <f t="shared" si="52"/>
        <v>#REF!</v>
      </c>
      <c r="F185" s="92">
        <f t="shared" si="52"/>
        <v>1090128.45</v>
      </c>
      <c r="G185" s="92">
        <f t="shared" si="52"/>
        <v>1008524</v>
      </c>
      <c r="H185" s="92">
        <f t="shared" si="52"/>
        <v>996548.29</v>
      </c>
      <c r="I185" s="93">
        <f t="shared" si="52"/>
        <v>3095200.74</v>
      </c>
      <c r="J185" s="92">
        <f t="shared" si="52"/>
        <v>6472436.9400000013</v>
      </c>
    </row>
    <row r="186" spans="1:10" ht="21" customHeight="1" x14ac:dyDescent="0.5">
      <c r="B186" s="113">
        <f t="shared" ref="B186:J186" si="53">SUM(B180:B181)</f>
        <v>0</v>
      </c>
      <c r="C186" s="113">
        <f t="shared" si="53"/>
        <v>0</v>
      </c>
      <c r="D186" s="113">
        <f t="shared" si="53"/>
        <v>0</v>
      </c>
      <c r="E186" s="113">
        <f t="shared" si="53"/>
        <v>0</v>
      </c>
      <c r="F186" s="113">
        <f t="shared" si="53"/>
        <v>0</v>
      </c>
      <c r="G186" s="113">
        <f t="shared" si="53"/>
        <v>0</v>
      </c>
      <c r="H186" s="113">
        <f t="shared" si="53"/>
        <v>0</v>
      </c>
      <c r="I186" s="113">
        <f t="shared" si="53"/>
        <v>0</v>
      </c>
      <c r="J186" s="113">
        <f t="shared" si="53"/>
        <v>0</v>
      </c>
    </row>
    <row r="198" spans="1:10" ht="21" customHeight="1" x14ac:dyDescent="0.5">
      <c r="A198" s="193" t="s">
        <v>68</v>
      </c>
      <c r="B198" s="193"/>
      <c r="C198" s="193"/>
      <c r="D198" s="193"/>
      <c r="E198" s="193"/>
      <c r="F198" s="193"/>
      <c r="G198" s="193"/>
      <c r="H198" s="193"/>
      <c r="I198" s="193"/>
      <c r="J198" s="193"/>
    </row>
    <row r="199" spans="1:10" ht="21" customHeight="1" x14ac:dyDescent="0.5">
      <c r="A199" s="193" t="s">
        <v>59</v>
      </c>
      <c r="B199" s="193"/>
      <c r="C199" s="193"/>
      <c r="D199" s="193"/>
      <c r="E199" s="193"/>
      <c r="F199" s="193"/>
      <c r="G199" s="193"/>
      <c r="H199" s="193"/>
      <c r="I199" s="193"/>
      <c r="J199" s="193"/>
    </row>
    <row r="200" spans="1:10" ht="21" customHeight="1" x14ac:dyDescent="0.5">
      <c r="A200" s="192" t="s">
        <v>79</v>
      </c>
      <c r="B200" s="192"/>
      <c r="C200" s="192"/>
      <c r="D200" s="192"/>
      <c r="E200" s="192"/>
      <c r="F200" s="192"/>
      <c r="G200" s="192"/>
      <c r="H200" s="192"/>
      <c r="I200" s="192"/>
      <c r="J200" s="192"/>
    </row>
    <row r="201" spans="1:10" s="81" customFormat="1" ht="33" customHeight="1" x14ac:dyDescent="0.5">
      <c r="A201" s="6" t="s">
        <v>47</v>
      </c>
      <c r="B201" s="7" t="s">
        <v>80</v>
      </c>
      <c r="C201" s="7" t="s">
        <v>81</v>
      </c>
      <c r="D201" s="7" t="s">
        <v>82</v>
      </c>
      <c r="E201" s="7" t="s">
        <v>30</v>
      </c>
      <c r="F201" s="7" t="s">
        <v>83</v>
      </c>
      <c r="G201" s="7" t="s">
        <v>84</v>
      </c>
      <c r="H201" s="7" t="s">
        <v>85</v>
      </c>
      <c r="I201" s="7" t="s">
        <v>31</v>
      </c>
      <c r="J201" s="80" t="s">
        <v>6</v>
      </c>
    </row>
    <row r="202" spans="1:10" ht="19.899999999999999" customHeight="1" x14ac:dyDescent="0.5">
      <c r="A202" s="83" t="s">
        <v>10</v>
      </c>
      <c r="B202" s="84"/>
      <c r="C202" s="84"/>
      <c r="D202" s="84"/>
      <c r="E202" s="85"/>
      <c r="F202" s="84"/>
      <c r="G202" s="84"/>
      <c r="H202" s="84"/>
      <c r="I202" s="85"/>
      <c r="J202" s="84"/>
    </row>
    <row r="203" spans="1:10" ht="19.899999999999999" customHeight="1" x14ac:dyDescent="0.5">
      <c r="A203" s="88" t="s">
        <v>50</v>
      </c>
      <c r="B203" s="107">
        <f>605600+794510</f>
        <v>1400110</v>
      </c>
      <c r="C203" s="107">
        <f>622500+821560</f>
        <v>1444060</v>
      </c>
      <c r="D203" s="107">
        <f>605600+794510</f>
        <v>1400110</v>
      </c>
      <c r="E203" s="87"/>
      <c r="F203" s="107">
        <f>739054.84+943030</f>
        <v>1682084.8399999999</v>
      </c>
      <c r="G203" s="107">
        <f>661960+844640</f>
        <v>1506600</v>
      </c>
      <c r="H203" s="107">
        <f>661960+857640</f>
        <v>1519600</v>
      </c>
      <c r="I203" s="87">
        <f t="shared" ref="I203:I210" si="54">F203+G203+H203</f>
        <v>4708284.84</v>
      </c>
      <c r="J203" s="108">
        <f>SUM(B203:H203)</f>
        <v>8952564.8399999999</v>
      </c>
    </row>
    <row r="204" spans="1:10" ht="19.899999999999999" customHeight="1" x14ac:dyDescent="0.5">
      <c r="A204" s="88" t="s">
        <v>32</v>
      </c>
      <c r="B204" s="107">
        <f>48000+108000</f>
        <v>156000</v>
      </c>
      <c r="C204" s="107">
        <f>76000+184404</f>
        <v>260404</v>
      </c>
      <c r="D204" s="107">
        <f>52000+130000</f>
        <v>182000</v>
      </c>
      <c r="E204" s="87">
        <f t="shared" ref="E204:E208" si="55">B204+C204+D204</f>
        <v>598404</v>
      </c>
      <c r="F204" s="107">
        <f>52000+130000</f>
        <v>182000</v>
      </c>
      <c r="G204" s="107">
        <f>39651+142579.68</f>
        <v>182230.68</v>
      </c>
      <c r="H204" s="107">
        <f>39000+130000</f>
        <v>169000</v>
      </c>
      <c r="I204" s="87">
        <f t="shared" si="54"/>
        <v>533230.67999999993</v>
      </c>
      <c r="J204" s="108">
        <f t="shared" ref="J204:J209" si="56">SUM(B204:H204)</f>
        <v>1730038.68</v>
      </c>
    </row>
    <row r="205" spans="1:10" ht="19.899999999999999" customHeight="1" x14ac:dyDescent="0.5">
      <c r="A205" s="88" t="s">
        <v>33</v>
      </c>
      <c r="B205" s="107">
        <f>29830</f>
        <v>29830</v>
      </c>
      <c r="C205" s="107">
        <f>7930+8120</f>
        <v>16050</v>
      </c>
      <c r="D205" s="107">
        <f>150260+181220</f>
        <v>331480</v>
      </c>
      <c r="E205" s="87">
        <f t="shared" si="55"/>
        <v>377360</v>
      </c>
      <c r="F205" s="107">
        <f>233502.04+168620</f>
        <v>402122.04000000004</v>
      </c>
      <c r="G205" s="107">
        <f>2200302.23+20339</f>
        <v>2220641.23</v>
      </c>
      <c r="H205" s="107">
        <f>1139348.34+22330</f>
        <v>1161678.3400000001</v>
      </c>
      <c r="I205" s="87">
        <f t="shared" si="54"/>
        <v>3784441.6100000003</v>
      </c>
      <c r="J205" s="108">
        <f t="shared" si="56"/>
        <v>4539161.6100000003</v>
      </c>
    </row>
    <row r="206" spans="1:10" ht="19.899999999999999" customHeight="1" x14ac:dyDescent="0.5">
      <c r="A206" s="88" t="s">
        <v>34</v>
      </c>
      <c r="B206" s="107">
        <v>0</v>
      </c>
      <c r="C206" s="107">
        <v>0</v>
      </c>
      <c r="D206" s="107">
        <v>0</v>
      </c>
      <c r="E206" s="87">
        <f t="shared" si="55"/>
        <v>0</v>
      </c>
      <c r="F206" s="107">
        <v>0</v>
      </c>
      <c r="G206" s="107">
        <v>0</v>
      </c>
      <c r="H206" s="107">
        <v>0</v>
      </c>
      <c r="I206" s="87">
        <f t="shared" si="54"/>
        <v>0</v>
      </c>
      <c r="J206" s="108">
        <f t="shared" si="56"/>
        <v>0</v>
      </c>
    </row>
    <row r="207" spans="1:10" ht="19.899999999999999" customHeight="1" x14ac:dyDescent="0.5">
      <c r="A207" s="88" t="s">
        <v>35</v>
      </c>
      <c r="B207" s="107">
        <v>0</v>
      </c>
      <c r="C207" s="107">
        <v>0</v>
      </c>
      <c r="D207" s="107">
        <v>117000</v>
      </c>
      <c r="E207" s="87">
        <f t="shared" si="55"/>
        <v>117000</v>
      </c>
      <c r="F207" s="107">
        <v>0</v>
      </c>
      <c r="G207" s="107">
        <v>0</v>
      </c>
      <c r="H207" s="107">
        <v>0</v>
      </c>
      <c r="I207" s="87">
        <f t="shared" si="54"/>
        <v>0</v>
      </c>
      <c r="J207" s="108">
        <f t="shared" si="56"/>
        <v>234000</v>
      </c>
    </row>
    <row r="208" spans="1:10" ht="19.899999999999999" customHeight="1" x14ac:dyDescent="0.5">
      <c r="A208" s="88" t="s">
        <v>36</v>
      </c>
      <c r="B208" s="107">
        <v>0</v>
      </c>
      <c r="C208" s="107">
        <v>0</v>
      </c>
      <c r="D208" s="107">
        <v>0</v>
      </c>
      <c r="E208" s="87">
        <f t="shared" si="55"/>
        <v>0</v>
      </c>
      <c r="F208" s="107">
        <v>826950</v>
      </c>
      <c r="G208" s="107">
        <v>3981000</v>
      </c>
      <c r="H208" s="107">
        <f>5700960+3286127.75</f>
        <v>8987087.75</v>
      </c>
      <c r="I208" s="87">
        <f t="shared" si="54"/>
        <v>13795037.75</v>
      </c>
      <c r="J208" s="108">
        <f t="shared" si="56"/>
        <v>13795037.75</v>
      </c>
    </row>
    <row r="209" spans="1:10" ht="19.899999999999999" customHeight="1" x14ac:dyDescent="0.5">
      <c r="A209" s="89" t="s">
        <v>71</v>
      </c>
      <c r="B209" s="110">
        <v>0</v>
      </c>
      <c r="C209" s="110">
        <v>0</v>
      </c>
      <c r="E209" s="106">
        <f>B209+C209+D210</f>
        <v>0</v>
      </c>
      <c r="F209" s="110">
        <v>0</v>
      </c>
      <c r="G209" s="110">
        <v>0</v>
      </c>
      <c r="H209" s="110">
        <v>0</v>
      </c>
      <c r="I209" s="106">
        <f t="shared" si="54"/>
        <v>0</v>
      </c>
      <c r="J209" s="108">
        <f t="shared" si="56"/>
        <v>0</v>
      </c>
    </row>
    <row r="210" spans="1:10" ht="19.899999999999999" customHeight="1" x14ac:dyDescent="0.5">
      <c r="A210" s="90" t="s">
        <v>72</v>
      </c>
      <c r="B210" s="166">
        <v>0</v>
      </c>
      <c r="C210" s="166">
        <v>0</v>
      </c>
      <c r="D210" s="110">
        <v>0</v>
      </c>
      <c r="E210" s="167" t="e">
        <f>B210+C210+#REF!</f>
        <v>#REF!</v>
      </c>
      <c r="F210" s="107">
        <v>0</v>
      </c>
      <c r="G210" s="166">
        <v>0</v>
      </c>
      <c r="H210" s="166">
        <v>0</v>
      </c>
      <c r="I210" s="167">
        <f t="shared" si="54"/>
        <v>0</v>
      </c>
      <c r="J210" s="108">
        <v>0</v>
      </c>
    </row>
    <row r="211" spans="1:10" ht="19.899999999999999" customHeight="1" thickBot="1" x14ac:dyDescent="0.55000000000000004">
      <c r="A211" s="91" t="s">
        <v>37</v>
      </c>
      <c r="B211" s="105">
        <f>SUM(B203:B210)</f>
        <v>1585940</v>
      </c>
      <c r="C211" s="105">
        <f t="shared" ref="C211" si="57">SUM(C203:C210)</f>
        <v>1720514</v>
      </c>
      <c r="D211" s="105">
        <f>SUM(D203:D210)</f>
        <v>2030590</v>
      </c>
      <c r="E211" s="105" t="e">
        <f t="shared" ref="E211:I211" si="58">SUM(E203:E210)</f>
        <v>#REF!</v>
      </c>
      <c r="F211" s="105">
        <f t="shared" si="58"/>
        <v>3093156.88</v>
      </c>
      <c r="G211" s="105">
        <f t="shared" si="58"/>
        <v>7890471.9100000001</v>
      </c>
      <c r="H211" s="105">
        <f t="shared" si="58"/>
        <v>11837366.09</v>
      </c>
      <c r="I211" s="105">
        <f t="shared" si="58"/>
        <v>22820994.879999999</v>
      </c>
      <c r="J211" s="105">
        <f>SUM(J203:J210)</f>
        <v>29250802.879999999</v>
      </c>
    </row>
    <row r="212" spans="1:10" ht="19.899999999999999" customHeight="1" thickTop="1" x14ac:dyDescent="0.5">
      <c r="A212" s="86" t="s">
        <v>27</v>
      </c>
      <c r="B212" s="104">
        <v>0</v>
      </c>
      <c r="C212" s="104">
        <v>0</v>
      </c>
      <c r="D212" s="104">
        <v>0</v>
      </c>
      <c r="E212" s="104">
        <v>0</v>
      </c>
      <c r="F212" s="104">
        <v>0</v>
      </c>
      <c r="G212" s="104">
        <v>0</v>
      </c>
      <c r="H212" s="104">
        <v>0</v>
      </c>
      <c r="I212" s="104">
        <v>0</v>
      </c>
      <c r="J212" s="104">
        <v>0</v>
      </c>
    </row>
    <row r="213" spans="1:10" ht="19.899999999999999" customHeight="1" x14ac:dyDescent="0.5">
      <c r="A213" s="91" t="s">
        <v>38</v>
      </c>
      <c r="B213" s="92">
        <f>SUM(B211:B212)</f>
        <v>1585940</v>
      </c>
      <c r="C213" s="92">
        <f t="shared" ref="C213:J213" si="59">SUM(C211:C212)</f>
        <v>1720514</v>
      </c>
      <c r="D213" s="92">
        <f t="shared" si="59"/>
        <v>2030590</v>
      </c>
      <c r="E213" s="93" t="e">
        <f t="shared" si="59"/>
        <v>#REF!</v>
      </c>
      <c r="F213" s="92">
        <f t="shared" si="59"/>
        <v>3093156.88</v>
      </c>
      <c r="G213" s="92">
        <f t="shared" si="59"/>
        <v>7890471.9100000001</v>
      </c>
      <c r="H213" s="92">
        <f t="shared" si="59"/>
        <v>11837366.09</v>
      </c>
      <c r="I213" s="93">
        <f t="shared" si="59"/>
        <v>22820994.879999999</v>
      </c>
      <c r="J213" s="92">
        <f t="shared" si="59"/>
        <v>29250802.879999999</v>
      </c>
    </row>
    <row r="215" spans="1:10" ht="21" customHeight="1" x14ac:dyDescent="0.5">
      <c r="B215" s="112">
        <f t="shared" ref="B215:J215" si="60">SUM(B208:B209)</f>
        <v>0</v>
      </c>
      <c r="C215" s="112">
        <f t="shared" si="60"/>
        <v>0</v>
      </c>
      <c r="D215" s="112">
        <f t="shared" si="60"/>
        <v>0</v>
      </c>
      <c r="E215" s="112">
        <f t="shared" si="60"/>
        <v>0</v>
      </c>
      <c r="F215" s="112">
        <f t="shared" si="60"/>
        <v>826950</v>
      </c>
      <c r="G215" s="112">
        <f t="shared" si="60"/>
        <v>3981000</v>
      </c>
      <c r="H215" s="112">
        <f t="shared" si="60"/>
        <v>8987087.75</v>
      </c>
      <c r="I215" s="112">
        <f t="shared" si="60"/>
        <v>13795037.75</v>
      </c>
      <c r="J215" s="112">
        <f t="shared" si="60"/>
        <v>13795037.75</v>
      </c>
    </row>
    <row r="226" spans="1:10" ht="21" customHeight="1" x14ac:dyDescent="0.5">
      <c r="A226" s="193" t="s">
        <v>68</v>
      </c>
      <c r="B226" s="193"/>
      <c r="C226" s="193"/>
      <c r="D226" s="193"/>
      <c r="E226" s="193"/>
      <c r="F226" s="193"/>
      <c r="G226" s="193"/>
      <c r="H226" s="193"/>
      <c r="I226" s="193"/>
      <c r="J226" s="193"/>
    </row>
    <row r="227" spans="1:10" ht="21" customHeight="1" x14ac:dyDescent="0.5">
      <c r="A227" s="193" t="s">
        <v>60</v>
      </c>
      <c r="B227" s="193"/>
      <c r="C227" s="193"/>
      <c r="D227" s="193"/>
      <c r="E227" s="193"/>
      <c r="F227" s="193"/>
      <c r="G227" s="193"/>
      <c r="H227" s="193"/>
      <c r="I227" s="193"/>
      <c r="J227" s="193"/>
    </row>
    <row r="228" spans="1:10" ht="21" customHeight="1" x14ac:dyDescent="0.5">
      <c r="A228" s="192" t="s">
        <v>79</v>
      </c>
      <c r="B228" s="192"/>
      <c r="C228" s="192"/>
      <c r="D228" s="192"/>
      <c r="E228" s="192"/>
      <c r="F228" s="192"/>
      <c r="G228" s="192"/>
      <c r="H228" s="192"/>
      <c r="I228" s="192"/>
      <c r="J228" s="192"/>
    </row>
    <row r="229" spans="1:10" s="81" customFormat="1" ht="33" customHeight="1" x14ac:dyDescent="0.5">
      <c r="A229" s="6" t="s">
        <v>47</v>
      </c>
      <c r="B229" s="7" t="s">
        <v>80</v>
      </c>
      <c r="C229" s="7" t="s">
        <v>81</v>
      </c>
      <c r="D229" s="7" t="s">
        <v>82</v>
      </c>
      <c r="E229" s="7" t="s">
        <v>30</v>
      </c>
      <c r="F229" s="7" t="s">
        <v>83</v>
      </c>
      <c r="G229" s="7" t="s">
        <v>84</v>
      </c>
      <c r="H229" s="7" t="s">
        <v>85</v>
      </c>
      <c r="I229" s="7" t="s">
        <v>31</v>
      </c>
      <c r="J229" s="80" t="s">
        <v>6</v>
      </c>
    </row>
    <row r="230" spans="1:10" ht="19.899999999999999" customHeight="1" x14ac:dyDescent="0.5">
      <c r="A230" s="83" t="s">
        <v>10</v>
      </c>
      <c r="B230" s="84"/>
      <c r="C230" s="84"/>
      <c r="D230" s="84"/>
      <c r="E230" s="85"/>
      <c r="F230" s="84"/>
      <c r="G230" s="84"/>
      <c r="H230" s="84"/>
      <c r="I230" s="85"/>
      <c r="J230" s="84"/>
    </row>
    <row r="231" spans="1:10" ht="19.899999999999999" customHeight="1" x14ac:dyDescent="0.5">
      <c r="A231" s="88" t="s">
        <v>50</v>
      </c>
      <c r="B231" s="107">
        <v>311210</v>
      </c>
      <c r="C231" s="107">
        <v>362950</v>
      </c>
      <c r="D231" s="107">
        <v>409130</v>
      </c>
      <c r="E231" s="87"/>
      <c r="F231" s="107">
        <v>387916.45</v>
      </c>
      <c r="G231" s="107">
        <v>391110</v>
      </c>
      <c r="H231" s="107">
        <v>371335.72</v>
      </c>
      <c r="I231" s="87">
        <f t="shared" ref="I231:I238" si="61">F231+G231+H231</f>
        <v>1150362.17</v>
      </c>
      <c r="J231" s="108">
        <f>SUM(B231:H231)</f>
        <v>2233652.17</v>
      </c>
    </row>
    <row r="232" spans="1:10" ht="19.899999999999999" customHeight="1" x14ac:dyDescent="0.5">
      <c r="A232" s="88" t="s">
        <v>32</v>
      </c>
      <c r="B232" s="107">
        <v>12000</v>
      </c>
      <c r="C232" s="107">
        <v>24000</v>
      </c>
      <c r="D232" s="107">
        <v>13000</v>
      </c>
      <c r="E232" s="87">
        <f t="shared" ref="E232:E236" si="62">B232+C232+D232</f>
        <v>49000</v>
      </c>
      <c r="F232" s="107">
        <v>13000</v>
      </c>
      <c r="G232" s="107">
        <v>13000</v>
      </c>
      <c r="H232" s="107">
        <v>13000</v>
      </c>
      <c r="I232" s="87">
        <f t="shared" si="61"/>
        <v>39000</v>
      </c>
      <c r="J232" s="108">
        <f t="shared" ref="J232:J236" si="63">SUM(B232:H232)</f>
        <v>137000</v>
      </c>
    </row>
    <row r="233" spans="1:10" ht="19.899999999999999" customHeight="1" x14ac:dyDescent="0.5">
      <c r="A233" s="88" t="s">
        <v>33</v>
      </c>
      <c r="B233" s="107">
        <v>1258680</v>
      </c>
      <c r="C233" s="107">
        <v>1905179.61</v>
      </c>
      <c r="D233" s="107">
        <v>2104325.38</v>
      </c>
      <c r="E233" s="87">
        <f t="shared" si="62"/>
        <v>5268184.99</v>
      </c>
      <c r="F233" s="107">
        <v>1229630.56</v>
      </c>
      <c r="G233" s="107">
        <v>1469298.54</v>
      </c>
      <c r="H233" s="107">
        <v>1412960.26</v>
      </c>
      <c r="I233" s="87">
        <f t="shared" si="61"/>
        <v>4111889.3600000003</v>
      </c>
      <c r="J233" s="108">
        <f t="shared" si="63"/>
        <v>14648259.340000002</v>
      </c>
    </row>
    <row r="234" spans="1:10" ht="19.899999999999999" customHeight="1" x14ac:dyDescent="0.5">
      <c r="A234" s="88" t="s">
        <v>34</v>
      </c>
      <c r="B234" s="107">
        <v>1976.59</v>
      </c>
      <c r="C234" s="107">
        <v>1871.63</v>
      </c>
      <c r="D234" s="107">
        <v>450.52</v>
      </c>
      <c r="E234" s="87">
        <f t="shared" si="62"/>
        <v>4298.74</v>
      </c>
      <c r="F234" s="107">
        <v>3173.6</v>
      </c>
      <c r="G234" s="107">
        <v>1286.83</v>
      </c>
      <c r="H234" s="107">
        <v>2074.0700000000002</v>
      </c>
      <c r="I234" s="87">
        <f t="shared" si="61"/>
        <v>6534.5</v>
      </c>
      <c r="J234" s="108">
        <f t="shared" si="63"/>
        <v>15131.98</v>
      </c>
    </row>
    <row r="235" spans="1:10" ht="19.899999999999999" customHeight="1" x14ac:dyDescent="0.5">
      <c r="A235" s="88" t="s">
        <v>35</v>
      </c>
      <c r="B235" s="107">
        <f>B262+B294+B323+B352+B381+B410+B439+B468+B497+B526</f>
        <v>0</v>
      </c>
      <c r="C235" s="107">
        <f>C262+C294+C323+C352+C381+C410+C439+C468+C497+C526</f>
        <v>0</v>
      </c>
      <c r="D235" s="107">
        <v>0</v>
      </c>
      <c r="E235" s="87">
        <f t="shared" si="62"/>
        <v>0</v>
      </c>
      <c r="F235" s="107">
        <v>0</v>
      </c>
      <c r="G235" s="107">
        <v>0</v>
      </c>
      <c r="H235" s="107">
        <v>0</v>
      </c>
      <c r="I235" s="87">
        <f t="shared" si="61"/>
        <v>0</v>
      </c>
      <c r="J235" s="108">
        <f t="shared" si="63"/>
        <v>0</v>
      </c>
    </row>
    <row r="236" spans="1:10" ht="19.899999999999999" customHeight="1" x14ac:dyDescent="0.5">
      <c r="A236" s="88" t="s">
        <v>36</v>
      </c>
      <c r="B236" s="107">
        <v>0</v>
      </c>
      <c r="C236" s="107">
        <v>0</v>
      </c>
      <c r="D236" s="107">
        <v>0</v>
      </c>
      <c r="E236" s="87">
        <f t="shared" si="62"/>
        <v>0</v>
      </c>
      <c r="F236" s="107">
        <v>0</v>
      </c>
      <c r="G236" s="107">
        <v>0</v>
      </c>
      <c r="H236" s="107">
        <v>0</v>
      </c>
      <c r="I236" s="87">
        <f t="shared" si="61"/>
        <v>0</v>
      </c>
      <c r="J236" s="108">
        <f t="shared" si="63"/>
        <v>0</v>
      </c>
    </row>
    <row r="237" spans="1:10" ht="19.899999999999999" customHeight="1" x14ac:dyDescent="0.5">
      <c r="A237" s="89" t="s">
        <v>71</v>
      </c>
      <c r="B237" s="110">
        <f>B264+B296+B325+B354+B383+B412+B441+B470+B499+B528</f>
        <v>0</v>
      </c>
      <c r="C237" s="110">
        <f>C264+C296+C325+C354+C383+C412+C441+C470+C499+C528</f>
        <v>0</v>
      </c>
      <c r="E237" s="106">
        <f>B237+C237+D238</f>
        <v>459226.38</v>
      </c>
      <c r="F237" s="110">
        <f>F264+F296+F325+F354+F383+F412+F441+F470+F499+F528</f>
        <v>0</v>
      </c>
      <c r="G237" s="110">
        <v>0</v>
      </c>
      <c r="H237" s="110">
        <v>0</v>
      </c>
      <c r="I237" s="106">
        <f t="shared" si="61"/>
        <v>0</v>
      </c>
      <c r="J237" s="108">
        <v>0</v>
      </c>
    </row>
    <row r="238" spans="1:10" ht="19.899999999999999" customHeight="1" x14ac:dyDescent="0.5">
      <c r="A238" s="90" t="s">
        <v>72</v>
      </c>
      <c r="B238" s="166">
        <v>0</v>
      </c>
      <c r="C238" s="166">
        <v>211624.43</v>
      </c>
      <c r="D238" s="107">
        <v>459226.38</v>
      </c>
      <c r="E238" s="167" t="e">
        <f>B238+C238+#REF!</f>
        <v>#REF!</v>
      </c>
      <c r="F238" s="107">
        <v>733970.98</v>
      </c>
      <c r="G238" s="166">
        <v>622005.27</v>
      </c>
      <c r="H238" s="166">
        <v>327806</v>
      </c>
      <c r="I238" s="167">
        <f t="shared" si="61"/>
        <v>1683782.25</v>
      </c>
      <c r="J238" s="169">
        <v>2253601.2000000002</v>
      </c>
    </row>
    <row r="239" spans="1:10" ht="19.899999999999999" customHeight="1" thickBot="1" x14ac:dyDescent="0.55000000000000004">
      <c r="A239" s="91" t="s">
        <v>37</v>
      </c>
      <c r="B239" s="105">
        <f>SUM(B231:B238)</f>
        <v>1583866.59</v>
      </c>
      <c r="C239" s="105">
        <f t="shared" ref="C239" si="64">SUM(C231:C238)</f>
        <v>2505625.6700000004</v>
      </c>
      <c r="D239" s="105">
        <f>SUM(D231:D238)</f>
        <v>2986132.28</v>
      </c>
      <c r="E239" s="105" t="e">
        <f t="shared" ref="E239:I239" si="65">SUM(E231:E238)</f>
        <v>#REF!</v>
      </c>
      <c r="F239" s="105">
        <f t="shared" si="65"/>
        <v>2367691.59</v>
      </c>
      <c r="G239" s="105">
        <f t="shared" si="65"/>
        <v>2496700.64</v>
      </c>
      <c r="H239" s="105">
        <f t="shared" si="65"/>
        <v>2127176.0499999998</v>
      </c>
      <c r="I239" s="105">
        <f t="shared" si="65"/>
        <v>6991568.2800000003</v>
      </c>
      <c r="J239" s="105">
        <f>SUM(J231:J238)</f>
        <v>19287644.690000001</v>
      </c>
    </row>
    <row r="240" spans="1:10" ht="19.899999999999999" customHeight="1" thickTop="1" x14ac:dyDescent="0.5">
      <c r="A240" s="86" t="s">
        <v>27</v>
      </c>
      <c r="B240" s="104">
        <v>0</v>
      </c>
      <c r="C240" s="104">
        <v>0</v>
      </c>
      <c r="D240" s="104">
        <v>0</v>
      </c>
      <c r="E240" s="104">
        <v>0</v>
      </c>
      <c r="F240" s="104">
        <v>0</v>
      </c>
      <c r="G240" s="104">
        <v>0</v>
      </c>
      <c r="H240" s="104">
        <v>0</v>
      </c>
      <c r="I240" s="104">
        <v>0</v>
      </c>
      <c r="J240" s="104">
        <v>0</v>
      </c>
    </row>
    <row r="241" spans="1:10" ht="19.899999999999999" customHeight="1" x14ac:dyDescent="0.5">
      <c r="A241" s="91" t="s">
        <v>38</v>
      </c>
      <c r="B241" s="92">
        <f>SUM(B239:B240)</f>
        <v>1583866.59</v>
      </c>
      <c r="C241" s="92">
        <f t="shared" ref="C241:J241" si="66">SUM(C239:C240)</f>
        <v>2505625.6700000004</v>
      </c>
      <c r="D241" s="92">
        <f t="shared" si="66"/>
        <v>2986132.28</v>
      </c>
      <c r="E241" s="93" t="e">
        <f t="shared" si="66"/>
        <v>#REF!</v>
      </c>
      <c r="F241" s="92">
        <f t="shared" si="66"/>
        <v>2367691.59</v>
      </c>
      <c r="G241" s="92">
        <f t="shared" si="66"/>
        <v>2496700.64</v>
      </c>
      <c r="H241" s="92">
        <f t="shared" si="66"/>
        <v>2127176.0499999998</v>
      </c>
      <c r="I241" s="93">
        <f t="shared" si="66"/>
        <v>6991568.2800000003</v>
      </c>
      <c r="J241" s="92">
        <f t="shared" si="66"/>
        <v>19287644.690000001</v>
      </c>
    </row>
    <row r="243" spans="1:10" ht="21" customHeight="1" x14ac:dyDescent="0.5">
      <c r="B243" s="112">
        <f t="shared" ref="B243:J243" si="67">SUM(B236:B237)</f>
        <v>0</v>
      </c>
      <c r="C243" s="112">
        <f t="shared" si="67"/>
        <v>0</v>
      </c>
      <c r="D243" s="112">
        <f t="shared" si="67"/>
        <v>0</v>
      </c>
      <c r="E243" s="112">
        <f t="shared" si="67"/>
        <v>459226.38</v>
      </c>
      <c r="F243" s="112">
        <f t="shared" si="67"/>
        <v>0</v>
      </c>
      <c r="G243" s="112">
        <f t="shared" si="67"/>
        <v>0</v>
      </c>
      <c r="H243" s="112">
        <f t="shared" si="67"/>
        <v>0</v>
      </c>
      <c r="I243" s="112">
        <f t="shared" si="67"/>
        <v>0</v>
      </c>
      <c r="J243" s="112">
        <f t="shared" si="67"/>
        <v>0</v>
      </c>
    </row>
    <row r="254" spans="1:10" ht="21" customHeight="1" x14ac:dyDescent="0.5">
      <c r="A254" s="193" t="s">
        <v>68</v>
      </c>
      <c r="B254" s="193"/>
      <c r="C254" s="193"/>
      <c r="D254" s="193"/>
      <c r="E254" s="193"/>
      <c r="F254" s="193"/>
      <c r="G254" s="193"/>
      <c r="H254" s="193"/>
      <c r="I254" s="193"/>
      <c r="J254" s="193"/>
    </row>
    <row r="255" spans="1:10" ht="21" customHeight="1" x14ac:dyDescent="0.5">
      <c r="A255" s="193" t="s">
        <v>61</v>
      </c>
      <c r="B255" s="193"/>
      <c r="C255" s="193"/>
      <c r="D255" s="193"/>
      <c r="E255" s="193"/>
      <c r="F255" s="193"/>
      <c r="G255" s="193"/>
      <c r="H255" s="193"/>
      <c r="I255" s="193"/>
      <c r="J255" s="193"/>
    </row>
    <row r="256" spans="1:10" ht="21" customHeight="1" x14ac:dyDescent="0.5">
      <c r="A256" s="192" t="s">
        <v>79</v>
      </c>
      <c r="B256" s="192"/>
      <c r="C256" s="192"/>
      <c r="D256" s="192"/>
      <c r="E256" s="192"/>
      <c r="F256" s="192"/>
      <c r="G256" s="192"/>
      <c r="H256" s="192"/>
      <c r="I256" s="192"/>
      <c r="J256" s="192"/>
    </row>
    <row r="257" spans="1:10" s="81" customFormat="1" ht="33" customHeight="1" x14ac:dyDescent="0.5">
      <c r="A257" s="6" t="s">
        <v>47</v>
      </c>
      <c r="B257" s="7" t="s">
        <v>80</v>
      </c>
      <c r="C257" s="7" t="s">
        <v>81</v>
      </c>
      <c r="D257" s="7" t="s">
        <v>82</v>
      </c>
      <c r="E257" s="7" t="s">
        <v>30</v>
      </c>
      <c r="F257" s="7" t="s">
        <v>83</v>
      </c>
      <c r="G257" s="7" t="s">
        <v>84</v>
      </c>
      <c r="H257" s="7" t="s">
        <v>85</v>
      </c>
      <c r="I257" s="7" t="s">
        <v>31</v>
      </c>
      <c r="J257" s="80" t="s">
        <v>6</v>
      </c>
    </row>
    <row r="258" spans="1:10" ht="19.899999999999999" customHeight="1" x14ac:dyDescent="0.5">
      <c r="A258" s="83" t="s">
        <v>10</v>
      </c>
      <c r="B258" s="84"/>
      <c r="C258" s="84"/>
      <c r="D258" s="84"/>
      <c r="E258" s="85"/>
      <c r="F258" s="84"/>
      <c r="G258" s="84"/>
      <c r="H258" s="84"/>
      <c r="I258" s="85"/>
      <c r="J258" s="84"/>
    </row>
    <row r="259" spans="1:10" ht="19.899999999999999" customHeight="1" x14ac:dyDescent="0.5">
      <c r="A259" s="88" t="s">
        <v>50</v>
      </c>
      <c r="B259" s="107">
        <v>371670</v>
      </c>
      <c r="C259" s="107">
        <v>374520</v>
      </c>
      <c r="D259" s="107">
        <v>435330</v>
      </c>
      <c r="E259" s="87"/>
      <c r="F259" s="107">
        <v>424799.68</v>
      </c>
      <c r="G259" s="107">
        <v>424870</v>
      </c>
      <c r="H259" s="107">
        <v>443241.43</v>
      </c>
      <c r="I259" s="87">
        <f t="shared" ref="I259:I266" si="68">F259+G259+H259</f>
        <v>1292911.1099999999</v>
      </c>
      <c r="J259" s="108">
        <f>SUM(B259:H259)</f>
        <v>2474431.11</v>
      </c>
    </row>
    <row r="260" spans="1:10" ht="19.899999999999999" customHeight="1" x14ac:dyDescent="0.5">
      <c r="A260" s="88" t="s">
        <v>32</v>
      </c>
      <c r="B260" s="107">
        <v>24000</v>
      </c>
      <c r="C260" s="107">
        <v>38000</v>
      </c>
      <c r="D260" s="107">
        <v>26000</v>
      </c>
      <c r="E260" s="87">
        <f t="shared" ref="E260:E264" si="69">B260+C260+D260</f>
        <v>88000</v>
      </c>
      <c r="F260" s="107">
        <v>26000</v>
      </c>
      <c r="G260" s="107">
        <v>26000</v>
      </c>
      <c r="H260" s="107">
        <v>26000</v>
      </c>
      <c r="I260" s="87">
        <f t="shared" si="68"/>
        <v>78000</v>
      </c>
      <c r="J260" s="108">
        <f t="shared" ref="J260:J264" si="70">SUM(B260:H260)</f>
        <v>254000</v>
      </c>
    </row>
    <row r="261" spans="1:10" ht="19.899999999999999" customHeight="1" x14ac:dyDescent="0.5">
      <c r="A261" s="88" t="s">
        <v>33</v>
      </c>
      <c r="B261" s="107">
        <v>25940</v>
      </c>
      <c r="C261" s="107">
        <v>72000</v>
      </c>
      <c r="D261" s="107">
        <v>71500</v>
      </c>
      <c r="E261" s="87">
        <f t="shared" si="69"/>
        <v>169440</v>
      </c>
      <c r="F261" s="107">
        <v>163390</v>
      </c>
      <c r="G261" s="107">
        <v>97270</v>
      </c>
      <c r="H261" s="107">
        <v>95530</v>
      </c>
      <c r="I261" s="87">
        <f t="shared" si="68"/>
        <v>356190</v>
      </c>
      <c r="J261" s="108">
        <f t="shared" si="70"/>
        <v>695070</v>
      </c>
    </row>
    <row r="262" spans="1:10" ht="19.899999999999999" customHeight="1" x14ac:dyDescent="0.5">
      <c r="A262" s="88" t="s">
        <v>34</v>
      </c>
      <c r="B262" s="107">
        <v>0</v>
      </c>
      <c r="C262" s="107">
        <v>0</v>
      </c>
      <c r="D262" s="107">
        <v>0</v>
      </c>
      <c r="E262" s="87">
        <f t="shared" si="69"/>
        <v>0</v>
      </c>
      <c r="F262" s="107">
        <v>0</v>
      </c>
      <c r="G262" s="107">
        <v>0</v>
      </c>
      <c r="H262" s="107">
        <v>0</v>
      </c>
      <c r="I262" s="87">
        <f t="shared" si="68"/>
        <v>0</v>
      </c>
      <c r="J262" s="108">
        <f t="shared" si="70"/>
        <v>0</v>
      </c>
    </row>
    <row r="263" spans="1:10" ht="19.899999999999999" customHeight="1" x14ac:dyDescent="0.5">
      <c r="A263" s="88" t="s">
        <v>35</v>
      </c>
      <c r="B263" s="107">
        <v>0</v>
      </c>
      <c r="C263" s="107">
        <v>0</v>
      </c>
      <c r="D263" s="107">
        <v>0</v>
      </c>
      <c r="E263" s="87">
        <f t="shared" si="69"/>
        <v>0</v>
      </c>
      <c r="F263" s="107">
        <v>0</v>
      </c>
      <c r="G263" s="107">
        <v>0</v>
      </c>
      <c r="H263" s="107">
        <v>0</v>
      </c>
      <c r="I263" s="87">
        <f t="shared" si="68"/>
        <v>0</v>
      </c>
      <c r="J263" s="108">
        <f t="shared" si="70"/>
        <v>0</v>
      </c>
    </row>
    <row r="264" spans="1:10" ht="19.899999999999999" customHeight="1" x14ac:dyDescent="0.5">
      <c r="A264" s="88" t="s">
        <v>36</v>
      </c>
      <c r="B264" s="107">
        <f t="shared" ref="B264:C264" si="71">B291+B324+B353+B382+B411+B440+B469+B498+B527+B556</f>
        <v>0</v>
      </c>
      <c r="C264" s="107">
        <v>0</v>
      </c>
      <c r="D264" s="107">
        <v>0</v>
      </c>
      <c r="E264" s="87">
        <f t="shared" si="69"/>
        <v>0</v>
      </c>
      <c r="F264" s="107">
        <f>F291+F324+F353+F382+F411+F440+F469+F498+F527+F556</f>
        <v>0</v>
      </c>
      <c r="G264" s="107">
        <v>0</v>
      </c>
      <c r="H264" s="107">
        <v>0</v>
      </c>
      <c r="I264" s="87">
        <f t="shared" si="68"/>
        <v>0</v>
      </c>
      <c r="J264" s="108">
        <f t="shared" si="70"/>
        <v>0</v>
      </c>
    </row>
    <row r="265" spans="1:10" ht="19.899999999999999" customHeight="1" x14ac:dyDescent="0.5">
      <c r="A265" s="89" t="s">
        <v>71</v>
      </c>
      <c r="B265" s="110">
        <f t="shared" ref="B265:C265" si="72">B292+B325+B354+B383+B412+B441+B470+B499+B528+B557</f>
        <v>0</v>
      </c>
      <c r="C265" s="110">
        <f t="shared" si="72"/>
        <v>0</v>
      </c>
      <c r="E265" s="106">
        <f>B265+C265+D266</f>
        <v>22360</v>
      </c>
      <c r="F265" s="110">
        <f>F292+F325+F354+F383+F412+F441+F470+F499+F528+F557</f>
        <v>0</v>
      </c>
      <c r="G265" s="110">
        <f t="shared" ref="G265:H265" si="73">G292+G325+G354+G383+G412+G441+G470+G499+G528+G557</f>
        <v>0</v>
      </c>
      <c r="H265" s="110">
        <f t="shared" si="73"/>
        <v>0</v>
      </c>
      <c r="I265" s="106">
        <f t="shared" si="68"/>
        <v>0</v>
      </c>
      <c r="J265" s="108">
        <v>0</v>
      </c>
    </row>
    <row r="266" spans="1:10" ht="19.899999999999999" customHeight="1" x14ac:dyDescent="0.5">
      <c r="A266" s="90" t="s">
        <v>72</v>
      </c>
      <c r="B266" s="166">
        <v>0</v>
      </c>
      <c r="C266" s="166">
        <v>3000</v>
      </c>
      <c r="D266" s="107">
        <v>22360</v>
      </c>
      <c r="E266" s="167" t="e">
        <f>B266+C266+#REF!</f>
        <v>#REF!</v>
      </c>
      <c r="F266" s="107">
        <v>20240</v>
      </c>
      <c r="G266" s="166">
        <v>24780</v>
      </c>
      <c r="H266" s="166">
        <v>42360</v>
      </c>
      <c r="I266" s="167">
        <f t="shared" si="68"/>
        <v>87380</v>
      </c>
      <c r="J266" s="108">
        <v>109860</v>
      </c>
    </row>
    <row r="267" spans="1:10" ht="19.899999999999999" customHeight="1" thickBot="1" x14ac:dyDescent="0.55000000000000004">
      <c r="A267" s="91" t="s">
        <v>37</v>
      </c>
      <c r="B267" s="105">
        <f>SUM(B259:B266)</f>
        <v>421610</v>
      </c>
      <c r="C267" s="105">
        <f t="shared" ref="C267" si="74">SUM(C259:C266)</f>
        <v>487520</v>
      </c>
      <c r="D267" s="105">
        <f>SUM(D259:D266)</f>
        <v>555190</v>
      </c>
      <c r="E267" s="105" t="e">
        <f t="shared" ref="E267:I267" si="75">SUM(E259:E266)</f>
        <v>#REF!</v>
      </c>
      <c r="F267" s="105">
        <f t="shared" si="75"/>
        <v>634429.67999999993</v>
      </c>
      <c r="G267" s="105">
        <f t="shared" si="75"/>
        <v>572920</v>
      </c>
      <c r="H267" s="105">
        <f t="shared" si="75"/>
        <v>607131.42999999993</v>
      </c>
      <c r="I267" s="105">
        <f t="shared" si="75"/>
        <v>1814481.1099999999</v>
      </c>
      <c r="J267" s="105">
        <f>SUM(J259:J266)</f>
        <v>3533361.11</v>
      </c>
    </row>
    <row r="268" spans="1:10" ht="19.899999999999999" customHeight="1" thickTop="1" x14ac:dyDescent="0.5">
      <c r="A268" s="86" t="s">
        <v>27</v>
      </c>
      <c r="B268" s="104">
        <v>0</v>
      </c>
      <c r="C268" s="104">
        <v>0</v>
      </c>
      <c r="D268" s="104">
        <v>0</v>
      </c>
      <c r="E268" s="104">
        <v>0</v>
      </c>
      <c r="F268" s="104">
        <v>0</v>
      </c>
      <c r="G268" s="104">
        <v>0</v>
      </c>
      <c r="H268" s="104">
        <v>0</v>
      </c>
      <c r="I268" s="104">
        <v>0</v>
      </c>
      <c r="J268" s="104">
        <v>0</v>
      </c>
    </row>
    <row r="269" spans="1:10" ht="19.899999999999999" customHeight="1" x14ac:dyDescent="0.5">
      <c r="A269" s="91" t="s">
        <v>38</v>
      </c>
      <c r="B269" s="92">
        <f>SUM(B267:B268)</f>
        <v>421610</v>
      </c>
      <c r="C269" s="92">
        <f t="shared" ref="C269:J269" si="76">SUM(C267:C268)</f>
        <v>487520</v>
      </c>
      <c r="D269" s="92">
        <f t="shared" si="76"/>
        <v>555190</v>
      </c>
      <c r="E269" s="93" t="e">
        <f t="shared" si="76"/>
        <v>#REF!</v>
      </c>
      <c r="F269" s="92">
        <f t="shared" si="76"/>
        <v>634429.67999999993</v>
      </c>
      <c r="G269" s="92">
        <f t="shared" si="76"/>
        <v>572920</v>
      </c>
      <c r="H269" s="92">
        <f t="shared" si="76"/>
        <v>607131.42999999993</v>
      </c>
      <c r="I269" s="93">
        <f t="shared" si="76"/>
        <v>1814481.1099999999</v>
      </c>
      <c r="J269" s="92">
        <f t="shared" si="76"/>
        <v>3533361.11</v>
      </c>
    </row>
    <row r="271" spans="1:10" ht="21" customHeight="1" x14ac:dyDescent="0.5">
      <c r="B271" s="112">
        <f t="shared" ref="B271:J271" si="77">SUM(B264:B265)</f>
        <v>0</v>
      </c>
      <c r="C271" s="112">
        <f t="shared" si="77"/>
        <v>0</v>
      </c>
      <c r="D271" s="112">
        <f t="shared" si="77"/>
        <v>0</v>
      </c>
      <c r="E271" s="112">
        <f t="shared" si="77"/>
        <v>22360</v>
      </c>
      <c r="F271" s="112">
        <f t="shared" si="77"/>
        <v>0</v>
      </c>
      <c r="G271" s="112">
        <f t="shared" si="77"/>
        <v>0</v>
      </c>
      <c r="H271" s="112">
        <f t="shared" si="77"/>
        <v>0</v>
      </c>
      <c r="I271" s="112">
        <f t="shared" si="77"/>
        <v>0</v>
      </c>
      <c r="J271" s="112">
        <f t="shared" si="77"/>
        <v>0</v>
      </c>
    </row>
    <row r="282" spans="1:10" ht="21" customHeight="1" x14ac:dyDescent="0.5">
      <c r="A282" s="193" t="s">
        <v>68</v>
      </c>
      <c r="B282" s="193"/>
      <c r="C282" s="193"/>
      <c r="D282" s="193"/>
      <c r="E282" s="193"/>
      <c r="F282" s="193"/>
      <c r="G282" s="193"/>
      <c r="H282" s="193"/>
      <c r="I282" s="193"/>
      <c r="J282" s="193"/>
    </row>
    <row r="283" spans="1:10" ht="21" customHeight="1" x14ac:dyDescent="0.5">
      <c r="A283" s="193" t="s">
        <v>22</v>
      </c>
      <c r="B283" s="193"/>
      <c r="C283" s="193"/>
      <c r="D283" s="193"/>
      <c r="E283" s="193"/>
      <c r="F283" s="193"/>
      <c r="G283" s="193"/>
      <c r="H283" s="193"/>
      <c r="I283" s="193"/>
      <c r="J283" s="193"/>
    </row>
    <row r="284" spans="1:10" ht="21" customHeight="1" x14ac:dyDescent="0.5">
      <c r="A284" s="192" t="s">
        <v>79</v>
      </c>
      <c r="B284" s="192"/>
      <c r="C284" s="192"/>
      <c r="D284" s="192"/>
      <c r="E284" s="192"/>
      <c r="F284" s="192"/>
      <c r="G284" s="192"/>
      <c r="H284" s="192"/>
      <c r="I284" s="192"/>
      <c r="J284" s="192"/>
    </row>
    <row r="285" spans="1:10" s="81" customFormat="1" ht="33" customHeight="1" x14ac:dyDescent="0.5">
      <c r="A285" s="6" t="s">
        <v>47</v>
      </c>
      <c r="B285" s="7" t="s">
        <v>80</v>
      </c>
      <c r="C285" s="7" t="s">
        <v>81</v>
      </c>
      <c r="D285" s="7" t="s">
        <v>82</v>
      </c>
      <c r="E285" s="7" t="s">
        <v>30</v>
      </c>
      <c r="F285" s="7" t="s">
        <v>83</v>
      </c>
      <c r="G285" s="7" t="s">
        <v>84</v>
      </c>
      <c r="H285" s="7" t="s">
        <v>85</v>
      </c>
      <c r="I285" s="7" t="s">
        <v>31</v>
      </c>
      <c r="J285" s="80" t="s">
        <v>6</v>
      </c>
    </row>
    <row r="286" spans="1:10" ht="19.899999999999999" customHeight="1" x14ac:dyDescent="0.5">
      <c r="A286" s="83" t="s">
        <v>10</v>
      </c>
      <c r="B286" s="84"/>
      <c r="C286" s="84"/>
      <c r="D286" s="84"/>
      <c r="E286" s="85"/>
      <c r="F286" s="84"/>
      <c r="G286" s="84"/>
      <c r="H286" s="84"/>
      <c r="I286" s="85"/>
      <c r="J286" s="84"/>
    </row>
    <row r="287" spans="1:10" ht="19.899999999999999" customHeight="1" x14ac:dyDescent="0.5">
      <c r="A287" s="88" t="s">
        <v>50</v>
      </c>
      <c r="B287" s="107">
        <v>675900</v>
      </c>
      <c r="C287" s="107">
        <v>675900</v>
      </c>
      <c r="D287" s="107">
        <v>851200</v>
      </c>
      <c r="E287" s="87"/>
      <c r="F287" s="107">
        <v>773125.48</v>
      </c>
      <c r="G287" s="107">
        <v>716740</v>
      </c>
      <c r="H287" s="107">
        <v>716740</v>
      </c>
      <c r="I287" s="87">
        <f t="shared" ref="I287:I294" si="78">F287+G287+H287</f>
        <v>2206605.48</v>
      </c>
      <c r="J287" s="108">
        <f>B287+C287+D287+F287+G287+H287</f>
        <v>4409605.4800000004</v>
      </c>
    </row>
    <row r="288" spans="1:10" ht="19.899999999999999" customHeight="1" x14ac:dyDescent="0.5">
      <c r="A288" s="88" t="s">
        <v>32</v>
      </c>
      <c r="B288" s="107">
        <v>536515.1</v>
      </c>
      <c r="C288" s="107">
        <v>523000</v>
      </c>
      <c r="D288" s="107">
        <v>844761</v>
      </c>
      <c r="E288" s="87">
        <f t="shared" ref="E288:E292" si="79">B288+C288+D288</f>
        <v>1904276.1</v>
      </c>
      <c r="F288" s="107">
        <v>559000</v>
      </c>
      <c r="G288" s="107">
        <v>559000</v>
      </c>
      <c r="H288" s="107">
        <v>559000</v>
      </c>
      <c r="I288" s="87">
        <f t="shared" si="78"/>
        <v>1677000</v>
      </c>
      <c r="J288" s="108">
        <f t="shared" ref="J288:J294" si="80">B288+C288+D288+F288+G288+H288</f>
        <v>3581276.1</v>
      </c>
    </row>
    <row r="289" spans="1:10" ht="19.899999999999999" customHeight="1" x14ac:dyDescent="0.5">
      <c r="A289" s="88" t="s">
        <v>33</v>
      </c>
      <c r="B289" s="107">
        <v>0</v>
      </c>
      <c r="C289" s="107">
        <v>175496</v>
      </c>
      <c r="D289" s="107">
        <v>976136</v>
      </c>
      <c r="E289" s="87">
        <f t="shared" si="79"/>
        <v>1151632</v>
      </c>
      <c r="F289" s="107">
        <v>2852791.6</v>
      </c>
      <c r="G289" s="107">
        <v>2772131.6</v>
      </c>
      <c r="H289" s="107">
        <v>2928210.8</v>
      </c>
      <c r="I289" s="87">
        <f t="shared" si="78"/>
        <v>8553134</v>
      </c>
      <c r="J289" s="108">
        <f t="shared" si="80"/>
        <v>9704766</v>
      </c>
    </row>
    <row r="290" spans="1:10" ht="19.899999999999999" customHeight="1" x14ac:dyDescent="0.5">
      <c r="A290" s="88" t="s">
        <v>34</v>
      </c>
      <c r="B290" s="107">
        <v>776635.65</v>
      </c>
      <c r="C290" s="107">
        <v>300315.92</v>
      </c>
      <c r="D290" s="107">
        <v>45654</v>
      </c>
      <c r="E290" s="87">
        <f t="shared" si="79"/>
        <v>1122605.57</v>
      </c>
      <c r="F290" s="107">
        <v>1050485.18</v>
      </c>
      <c r="G290" s="107">
        <v>453585.35</v>
      </c>
      <c r="H290" s="107">
        <v>558485.41</v>
      </c>
      <c r="I290" s="87">
        <f t="shared" si="78"/>
        <v>2062555.94</v>
      </c>
      <c r="J290" s="108">
        <f t="shared" si="80"/>
        <v>3185161.5100000002</v>
      </c>
    </row>
    <row r="291" spans="1:10" ht="19.899999999999999" customHeight="1" x14ac:dyDescent="0.5">
      <c r="A291" s="88" t="s">
        <v>35</v>
      </c>
      <c r="B291" s="107">
        <f t="shared" ref="B291:C291" si="81">B319+B352+B381+B410+B439+B468+B497+B526+B555+B584</f>
        <v>0</v>
      </c>
      <c r="C291" s="107">
        <v>252000</v>
      </c>
      <c r="D291" s="107">
        <v>171000</v>
      </c>
      <c r="E291" s="87">
        <f t="shared" si="79"/>
        <v>423000</v>
      </c>
      <c r="F291" s="107">
        <v>0</v>
      </c>
      <c r="G291" s="107">
        <v>0</v>
      </c>
      <c r="H291" s="107">
        <v>0</v>
      </c>
      <c r="I291" s="87">
        <f t="shared" si="78"/>
        <v>0</v>
      </c>
      <c r="J291" s="108">
        <f t="shared" si="80"/>
        <v>423000</v>
      </c>
    </row>
    <row r="292" spans="1:10" ht="19.899999999999999" customHeight="1" x14ac:dyDescent="0.5">
      <c r="A292" s="88" t="s">
        <v>36</v>
      </c>
      <c r="B292" s="107">
        <f t="shared" ref="B292:C292" si="82">B320+B353+B382+B411+B440+B469+B498+B527+B556+B585</f>
        <v>0</v>
      </c>
      <c r="C292" s="107">
        <f t="shared" si="82"/>
        <v>0</v>
      </c>
      <c r="D292" s="107">
        <f>D320+D353+D382+D411+D440+D469+D498+D527+D556+D585</f>
        <v>0</v>
      </c>
      <c r="E292" s="87">
        <f t="shared" si="79"/>
        <v>0</v>
      </c>
      <c r="F292" s="107">
        <f>F320+F353+F382+F411+F440+F469+F498+F527+F556+F585</f>
        <v>0</v>
      </c>
      <c r="G292" s="107">
        <f t="shared" ref="G292:H292" si="83">G320+G353+G382+G411+G440+G469+G498+G527+G556+G585</f>
        <v>0</v>
      </c>
      <c r="H292" s="107">
        <f t="shared" si="83"/>
        <v>0</v>
      </c>
      <c r="I292" s="87">
        <f t="shared" si="78"/>
        <v>0</v>
      </c>
      <c r="J292" s="108">
        <f t="shared" si="80"/>
        <v>0</v>
      </c>
    </row>
    <row r="293" spans="1:10" ht="19.899999999999999" customHeight="1" x14ac:dyDescent="0.5">
      <c r="A293" s="89" t="s">
        <v>71</v>
      </c>
      <c r="B293" s="110">
        <f t="shared" ref="B293" si="84">B321+B354+B383+B412+B441+B470+B499+B528+B557+B586</f>
        <v>0</v>
      </c>
      <c r="C293" s="107">
        <v>0</v>
      </c>
      <c r="D293" s="94">
        <v>1694930</v>
      </c>
      <c r="E293" s="106">
        <f>B293+C293+D294</f>
        <v>678700</v>
      </c>
      <c r="F293" s="107">
        <v>957144</v>
      </c>
      <c r="G293" s="107">
        <v>2927140</v>
      </c>
      <c r="H293" s="107">
        <v>2306838</v>
      </c>
      <c r="I293" s="106">
        <f t="shared" si="78"/>
        <v>6191122</v>
      </c>
      <c r="J293" s="108">
        <f t="shared" si="80"/>
        <v>7886052</v>
      </c>
    </row>
    <row r="294" spans="1:10" ht="19.899999999999999" customHeight="1" x14ac:dyDescent="0.5">
      <c r="A294" s="90" t="s">
        <v>72</v>
      </c>
      <c r="B294" s="166">
        <v>0</v>
      </c>
      <c r="C294" s="166">
        <v>0</v>
      </c>
      <c r="D294" s="107">
        <v>678700</v>
      </c>
      <c r="E294" s="167" t="e">
        <f>B294+C294+#REF!</f>
        <v>#REF!</v>
      </c>
      <c r="F294" s="107">
        <v>593800</v>
      </c>
      <c r="G294" s="166">
        <v>752900</v>
      </c>
      <c r="H294" s="166">
        <v>460090</v>
      </c>
      <c r="I294" s="167">
        <f t="shared" si="78"/>
        <v>1806790</v>
      </c>
      <c r="J294" s="108">
        <f t="shared" si="80"/>
        <v>2485490</v>
      </c>
    </row>
    <row r="295" spans="1:10" ht="19.899999999999999" customHeight="1" thickBot="1" x14ac:dyDescent="0.55000000000000004">
      <c r="A295" s="91" t="s">
        <v>37</v>
      </c>
      <c r="B295" s="105">
        <f>SUM(B287:B294)</f>
        <v>1989050.75</v>
      </c>
      <c r="C295" s="105">
        <f t="shared" ref="C295" si="85">SUM(C287:C294)</f>
        <v>1926711.92</v>
      </c>
      <c r="D295" s="105">
        <f>SUM(D287:D294)</f>
        <v>5262381</v>
      </c>
      <c r="E295" s="105" t="e">
        <f t="shared" ref="E295:I295" si="86">SUM(E287:E294)</f>
        <v>#REF!</v>
      </c>
      <c r="F295" s="105">
        <f t="shared" si="86"/>
        <v>6786346.2599999998</v>
      </c>
      <c r="G295" s="105">
        <f>SUM(G287:G294)</f>
        <v>8181496.9500000002</v>
      </c>
      <c r="H295" s="105">
        <f t="shared" si="86"/>
        <v>7529364.21</v>
      </c>
      <c r="I295" s="105">
        <f t="shared" si="86"/>
        <v>22497207.420000002</v>
      </c>
      <c r="J295" s="105">
        <f>SUM(J287:J294)</f>
        <v>31675351.09</v>
      </c>
    </row>
    <row r="296" spans="1:10" ht="19.899999999999999" customHeight="1" thickTop="1" x14ac:dyDescent="0.5">
      <c r="A296" s="86" t="s">
        <v>27</v>
      </c>
      <c r="B296" s="104">
        <v>0</v>
      </c>
      <c r="C296" s="104">
        <v>0</v>
      </c>
      <c r="D296" s="104">
        <v>0</v>
      </c>
      <c r="E296" s="104">
        <v>0</v>
      </c>
      <c r="F296" s="104">
        <v>0</v>
      </c>
      <c r="G296" s="104">
        <v>0</v>
      </c>
      <c r="H296" s="104">
        <v>0</v>
      </c>
      <c r="I296" s="104">
        <v>0</v>
      </c>
      <c r="J296" s="104">
        <v>0</v>
      </c>
    </row>
    <row r="297" spans="1:10" ht="19.899999999999999" customHeight="1" x14ac:dyDescent="0.5">
      <c r="A297" s="91" t="s">
        <v>38</v>
      </c>
      <c r="B297" s="92">
        <f>SUM(B295:B296)</f>
        <v>1989050.75</v>
      </c>
      <c r="C297" s="92">
        <f t="shared" ref="C297:J297" si="87">SUM(C295:C296)</f>
        <v>1926711.92</v>
      </c>
      <c r="D297" s="92">
        <f t="shared" si="87"/>
        <v>5262381</v>
      </c>
      <c r="E297" s="93" t="e">
        <f t="shared" si="87"/>
        <v>#REF!</v>
      </c>
      <c r="F297" s="92">
        <f t="shared" si="87"/>
        <v>6786346.2599999998</v>
      </c>
      <c r="G297" s="92">
        <f t="shared" si="87"/>
        <v>8181496.9500000002</v>
      </c>
      <c r="H297" s="92">
        <f t="shared" si="87"/>
        <v>7529364.21</v>
      </c>
      <c r="I297" s="93">
        <f t="shared" si="87"/>
        <v>22497207.420000002</v>
      </c>
      <c r="J297" s="92">
        <f t="shared" si="87"/>
        <v>31675351.09</v>
      </c>
    </row>
    <row r="299" spans="1:10" ht="21" customHeight="1" x14ac:dyDescent="0.5">
      <c r="A299" s="111"/>
      <c r="B299" s="112">
        <f>SUM(B292:B293)</f>
        <v>0</v>
      </c>
      <c r="C299" s="112">
        <f t="shared" ref="C299:J299" si="88">SUM(C292:C293)</f>
        <v>0</v>
      </c>
      <c r="D299" s="112">
        <f t="shared" si="88"/>
        <v>1694930</v>
      </c>
      <c r="E299" s="112">
        <f t="shared" si="88"/>
        <v>678700</v>
      </c>
      <c r="F299" s="112">
        <f t="shared" si="88"/>
        <v>957144</v>
      </c>
      <c r="G299" s="112">
        <f t="shared" si="88"/>
        <v>2927140</v>
      </c>
      <c r="H299" s="112">
        <f t="shared" si="88"/>
        <v>2306838</v>
      </c>
      <c r="I299" s="112">
        <f t="shared" si="88"/>
        <v>6191122</v>
      </c>
      <c r="J299" s="112">
        <f t="shared" si="88"/>
        <v>7886052</v>
      </c>
    </row>
  </sheetData>
  <mergeCells count="34">
    <mergeCell ref="A284:J284"/>
    <mergeCell ref="A226:J226"/>
    <mergeCell ref="A227:J227"/>
    <mergeCell ref="A228:J228"/>
    <mergeCell ref="A254:J254"/>
    <mergeCell ref="A255:J255"/>
    <mergeCell ref="A256:J256"/>
    <mergeCell ref="A198:J198"/>
    <mergeCell ref="A199:J199"/>
    <mergeCell ref="A200:J200"/>
    <mergeCell ref="A282:J282"/>
    <mergeCell ref="A283:J283"/>
    <mergeCell ref="A143:J143"/>
    <mergeCell ref="A144:J144"/>
    <mergeCell ref="A170:J170"/>
    <mergeCell ref="A171:J171"/>
    <mergeCell ref="A172:J172"/>
    <mergeCell ref="A88:J88"/>
    <mergeCell ref="A114:J114"/>
    <mergeCell ref="A115:J115"/>
    <mergeCell ref="A116:J116"/>
    <mergeCell ref="A142:J142"/>
    <mergeCell ref="A58:J58"/>
    <mergeCell ref="A59:J59"/>
    <mergeCell ref="A60:J60"/>
    <mergeCell ref="A86:J86"/>
    <mergeCell ref="A87:J87"/>
    <mergeCell ref="A32:J32"/>
    <mergeCell ref="A1:J1"/>
    <mergeCell ref="A2:J2"/>
    <mergeCell ref="A3:J3"/>
    <mergeCell ref="A30:J30"/>
    <mergeCell ref="A31:J31"/>
    <mergeCell ref="A4:J4"/>
  </mergeCells>
  <printOptions horizontalCentered="1"/>
  <pageMargins left="0.11811023622047245" right="0.11811023622047245" top="0.51181102362204722" bottom="0.11811023622047245" header="0.31496062992125984" footer="0.31496062992125984"/>
  <pageSetup paperSize="9" scale="95" orientation="landscape" r:id="rId1"/>
  <rowBreaks count="9" manualBreakCount="9">
    <brk id="57" max="16383" man="1"/>
    <brk id="85" max="16383" man="1"/>
    <brk id="113" max="16383" man="1"/>
    <brk id="141" max="16383" man="1"/>
    <brk id="169" max="16383" man="1"/>
    <brk id="197" max="16383" man="1"/>
    <brk id="225" max="16383" man="1"/>
    <brk id="253" max="16383" man="1"/>
    <brk id="2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1.สรุป(ต.ค.66-มี.ค.67)</vt:lpstr>
      <vt:lpstr>2.กราฟ</vt:lpstr>
      <vt:lpstr>3.สรุป 6 เดือน</vt:lpstr>
      <vt:lpstr>4.ต.ค.66 - มี.ค. 67(10 ฝ่าย)ITA</vt:lpstr>
      <vt:lpstr>'1.สรุป(ต.ค.66-มี.ค.67)'!Print_Area</vt:lpstr>
      <vt:lpstr>'2.กราฟ'!Print_Area</vt:lpstr>
      <vt:lpstr>'3.สรุป 6 เดือน'!Print_Area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bma04013</dc:creator>
  <cp:lastModifiedBy>BKFinan04</cp:lastModifiedBy>
  <cp:lastPrinted>2024-04-29T08:30:12Z</cp:lastPrinted>
  <dcterms:created xsi:type="dcterms:W3CDTF">2024-03-12T15:07:46Z</dcterms:created>
  <dcterms:modified xsi:type="dcterms:W3CDTF">2025-04-26T11:13:18Z</dcterms:modified>
</cp:coreProperties>
</file>