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KAdmin66-14\Downloads\"/>
    </mc:Choice>
  </mc:AlternateContent>
  <xr:revisionPtr revIDLastSave="0" documentId="13_ncr:1_{9BC8FFA0-366D-42D0-BB89-B0DF566F3E9E}" xr6:coauthVersionLast="47" xr6:coauthVersionMax="47" xr10:uidLastSave="{00000000-0000-0000-0000-000000000000}"/>
  <bookViews>
    <workbookView xWindow="-108" yWindow="-108" windowWidth="23256" windowHeight="12456" activeTab="1" xr2:uid="{975BCE9D-9372-4A5F-9447-1D376CDD2DB6}"/>
  </bookViews>
  <sheets>
    <sheet name="1.สรุป" sheetId="8" r:id="rId1"/>
    <sheet name="2.กราฟ" sheetId="7" r:id="rId2"/>
    <sheet name="3.สรุป 6 เดือน" sheetId="1" r:id="rId3"/>
    <sheet name="4. เม.ย. - ก.ย. 67(10 ฝ่าย)ITA" sheetId="10" r:id="rId4"/>
    <sheet name="4. เม.ย. - ก.ย. 67(10 ฝ่าย) (2)" sheetId="11" state="hidden" r:id="rId5"/>
  </sheets>
  <definedNames>
    <definedName name="_xlnm.Print_Area" localSheetId="0">'1.สรุป'!$A$1:$K$27</definedName>
    <definedName name="_xlnm.Print_Area" localSheetId="1">'2.กราฟ'!$A$1:$N$58</definedName>
    <definedName name="_xlnm.Print_Area" localSheetId="2">'3.สรุป 6 เดือน'!$A$1:$M$28</definedName>
    <definedName name="_xlnm.Print_Area" localSheetId="3">'4. เม.ย. - ก.ย. 67(10 ฝ่าย)ITA'!$A$1:$J$188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0" l="1"/>
  <c r="C10" i="10"/>
  <c r="C93" i="10"/>
  <c r="B14" i="10"/>
  <c r="G94" i="10"/>
  <c r="G13" i="10"/>
  <c r="F14" i="10"/>
  <c r="F13" i="10"/>
  <c r="F11" i="10"/>
  <c r="B11" i="10"/>
  <c r="B10" i="10" l="1"/>
  <c r="H10" i="10"/>
  <c r="H12" i="10"/>
  <c r="H13" i="10"/>
  <c r="H14" i="10"/>
  <c r="G10" i="10"/>
  <c r="G11" i="10"/>
  <c r="G12" i="10"/>
  <c r="G14" i="10"/>
  <c r="F10" i="10"/>
  <c r="D10" i="10"/>
  <c r="D11" i="10"/>
  <c r="D13" i="10"/>
  <c r="D14" i="10"/>
  <c r="C14" i="10"/>
  <c r="E7" i="10"/>
  <c r="E183" i="10"/>
  <c r="J177" i="10"/>
  <c r="E167" i="10"/>
  <c r="E99" i="10"/>
  <c r="J58" i="10"/>
  <c r="J59" i="10"/>
  <c r="J60" i="10"/>
  <c r="J61" i="10"/>
  <c r="J62" i="10"/>
  <c r="J63" i="10"/>
  <c r="J64" i="10"/>
  <c r="J65" i="10"/>
  <c r="J178" i="10"/>
  <c r="J179" i="10"/>
  <c r="J180" i="10"/>
  <c r="J183" i="10"/>
  <c r="J184" i="10"/>
  <c r="E184" i="10"/>
  <c r="E150" i="10"/>
  <c r="E82" i="10"/>
  <c r="E65" i="10"/>
  <c r="E25" i="10"/>
  <c r="J24" i="10"/>
  <c r="J42" i="10"/>
  <c r="J43" i="10"/>
  <c r="J44" i="10"/>
  <c r="J45" i="10"/>
  <c r="J46" i="10"/>
  <c r="J47" i="10"/>
  <c r="J48" i="10"/>
  <c r="J41" i="10"/>
  <c r="E48" i="10"/>
  <c r="E31" i="10"/>
  <c r="J76" i="10"/>
  <c r="J77" i="10"/>
  <c r="J78" i="10"/>
  <c r="J80" i="10"/>
  <c r="J81" i="10"/>
  <c r="J82" i="10"/>
  <c r="J75" i="10"/>
  <c r="J95" i="10"/>
  <c r="J97" i="10"/>
  <c r="J98" i="10"/>
  <c r="J99" i="10"/>
  <c r="E116" i="10"/>
  <c r="J110" i="10"/>
  <c r="J111" i="10"/>
  <c r="J112" i="10"/>
  <c r="J114" i="10"/>
  <c r="J115" i="10"/>
  <c r="J116" i="10"/>
  <c r="J109" i="10"/>
  <c r="J129" i="10"/>
  <c r="J130" i="10"/>
  <c r="J131" i="10"/>
  <c r="J132" i="10"/>
  <c r="J133" i="10"/>
  <c r="E133" i="10"/>
  <c r="B128" i="10" l="1"/>
  <c r="B127" i="10"/>
  <c r="B126" i="10"/>
  <c r="C128" i="10"/>
  <c r="C127" i="10"/>
  <c r="C8" i="10" s="1"/>
  <c r="C126" i="10"/>
  <c r="D128" i="10"/>
  <c r="D127" i="10"/>
  <c r="D126" i="10"/>
  <c r="F128" i="10"/>
  <c r="F127" i="10"/>
  <c r="F126" i="10"/>
  <c r="G128" i="10"/>
  <c r="G9" i="10" s="1"/>
  <c r="G127" i="10"/>
  <c r="G126" i="10"/>
  <c r="H128" i="10"/>
  <c r="H127" i="10"/>
  <c r="H126" i="10"/>
  <c r="B94" i="10"/>
  <c r="B93" i="10"/>
  <c r="B92" i="10"/>
  <c r="C94" i="10"/>
  <c r="C9" i="10" s="1"/>
  <c r="C92" i="10"/>
  <c r="D94" i="10"/>
  <c r="D9" i="10" s="1"/>
  <c r="D93" i="10"/>
  <c r="D92" i="10"/>
  <c r="F94" i="10"/>
  <c r="F93" i="10"/>
  <c r="F92" i="10"/>
  <c r="G93" i="10"/>
  <c r="G92" i="10"/>
  <c r="H94" i="10"/>
  <c r="H93" i="10"/>
  <c r="H8" i="10" s="1"/>
  <c r="H92" i="10"/>
  <c r="H7" i="10" s="1"/>
  <c r="C49" i="10"/>
  <c r="J26" i="10"/>
  <c r="J25" i="10"/>
  <c r="J31" i="10"/>
  <c r="J27" i="10"/>
  <c r="E30" i="10"/>
  <c r="G32" i="10"/>
  <c r="G299" i="11"/>
  <c r="C299" i="11"/>
  <c r="J294" i="11"/>
  <c r="I294" i="11"/>
  <c r="E294" i="11"/>
  <c r="I293" i="11"/>
  <c r="B293" i="11"/>
  <c r="E293" i="11" s="1"/>
  <c r="J293" i="11" s="1"/>
  <c r="I292" i="11"/>
  <c r="I299" i="11" s="1"/>
  <c r="H292" i="11"/>
  <c r="H295" i="11" s="1"/>
  <c r="H297" i="11" s="1"/>
  <c r="G292" i="11"/>
  <c r="G295" i="11" s="1"/>
  <c r="G297" i="11" s="1"/>
  <c r="F292" i="11"/>
  <c r="F299" i="11" s="1"/>
  <c r="E292" i="11"/>
  <c r="E299" i="11" s="1"/>
  <c r="D292" i="11"/>
  <c r="D295" i="11" s="1"/>
  <c r="D297" i="11" s="1"/>
  <c r="C292" i="11"/>
  <c r="B292" i="11"/>
  <c r="B299" i="11" s="1"/>
  <c r="I291" i="11"/>
  <c r="C291" i="11"/>
  <c r="C295" i="11" s="1"/>
  <c r="C297" i="11" s="1"/>
  <c r="B291" i="11"/>
  <c r="E291" i="11" s="1"/>
  <c r="I290" i="11"/>
  <c r="E290" i="11"/>
  <c r="J290" i="11" s="1"/>
  <c r="J289" i="11"/>
  <c r="I289" i="11"/>
  <c r="E289" i="11"/>
  <c r="I288" i="11"/>
  <c r="I295" i="11" s="1"/>
  <c r="I297" i="11" s="1"/>
  <c r="E288" i="11"/>
  <c r="J288" i="11" s="1"/>
  <c r="J287" i="11"/>
  <c r="I287" i="11"/>
  <c r="H267" i="11"/>
  <c r="H269" i="11" s="1"/>
  <c r="I266" i="11"/>
  <c r="E266" i="11"/>
  <c r="H265" i="11"/>
  <c r="H271" i="11" s="1"/>
  <c r="G265" i="11"/>
  <c r="G267" i="11" s="1"/>
  <c r="G269" i="11" s="1"/>
  <c r="F265" i="11"/>
  <c r="I265" i="11" s="1"/>
  <c r="C265" i="11"/>
  <c r="B265" i="11"/>
  <c r="E265" i="11" s="1"/>
  <c r="F264" i="11"/>
  <c r="I264" i="11" s="1"/>
  <c r="I271" i="11" s="1"/>
  <c r="D264" i="11"/>
  <c r="D271" i="11" s="1"/>
  <c r="C264" i="11"/>
  <c r="C267" i="11" s="1"/>
  <c r="C269" i="11" s="1"/>
  <c r="J263" i="11"/>
  <c r="I263" i="11"/>
  <c r="E263" i="11"/>
  <c r="I262" i="11"/>
  <c r="E262" i="11"/>
  <c r="J262" i="11" s="1"/>
  <c r="I261" i="11"/>
  <c r="E261" i="11"/>
  <c r="J261" i="11" s="1"/>
  <c r="J260" i="11"/>
  <c r="I260" i="11"/>
  <c r="E260" i="11"/>
  <c r="J259" i="11"/>
  <c r="I259" i="11"/>
  <c r="H243" i="11"/>
  <c r="G243" i="11"/>
  <c r="D243" i="11"/>
  <c r="C243" i="11"/>
  <c r="H241" i="11"/>
  <c r="D241" i="11"/>
  <c r="H239" i="11"/>
  <c r="G239" i="11"/>
  <c r="G241" i="11" s="1"/>
  <c r="D239" i="11"/>
  <c r="I238" i="11"/>
  <c r="E238" i="11"/>
  <c r="I237" i="11"/>
  <c r="F237" i="11"/>
  <c r="F243" i="11" s="1"/>
  <c r="C237" i="11"/>
  <c r="I236" i="11"/>
  <c r="I243" i="11" s="1"/>
  <c r="E236" i="11"/>
  <c r="I235" i="11"/>
  <c r="E235" i="11"/>
  <c r="C235" i="11"/>
  <c r="C239" i="11" s="1"/>
  <c r="C241" i="11" s="1"/>
  <c r="B235" i="11"/>
  <c r="J235" i="11" s="1"/>
  <c r="I234" i="11"/>
  <c r="I239" i="11" s="1"/>
  <c r="I241" i="11" s="1"/>
  <c r="E234" i="11"/>
  <c r="J234" i="11" s="1"/>
  <c r="I233" i="11"/>
  <c r="E233" i="11"/>
  <c r="J232" i="11"/>
  <c r="I232" i="11"/>
  <c r="E232" i="11"/>
  <c r="J231" i="11"/>
  <c r="I231" i="11"/>
  <c r="H215" i="11"/>
  <c r="G215" i="11"/>
  <c r="F215" i="11"/>
  <c r="D215" i="11"/>
  <c r="C215" i="11"/>
  <c r="B215" i="11"/>
  <c r="F211" i="11"/>
  <c r="F213" i="11" s="1"/>
  <c r="B211" i="11"/>
  <c r="B213" i="11" s="1"/>
  <c r="I210" i="11"/>
  <c r="E210" i="11"/>
  <c r="I209" i="11"/>
  <c r="E209" i="11"/>
  <c r="J209" i="11" s="1"/>
  <c r="I208" i="11"/>
  <c r="I215" i="11" s="1"/>
  <c r="E208" i="11"/>
  <c r="J208" i="11" s="1"/>
  <c r="J207" i="11"/>
  <c r="I207" i="11"/>
  <c r="E207" i="11"/>
  <c r="J206" i="11"/>
  <c r="I206" i="11"/>
  <c r="E206" i="11"/>
  <c r="I205" i="11"/>
  <c r="H205" i="11"/>
  <c r="G205" i="11"/>
  <c r="F205" i="11"/>
  <c r="E205" i="11"/>
  <c r="C205" i="11"/>
  <c r="J205" i="11" s="1"/>
  <c r="H204" i="11"/>
  <c r="G204" i="11"/>
  <c r="F204" i="11"/>
  <c r="I204" i="11" s="1"/>
  <c r="D204" i="11"/>
  <c r="C204" i="11"/>
  <c r="B204" i="11"/>
  <c r="I203" i="11"/>
  <c r="H203" i="11"/>
  <c r="H211" i="11" s="1"/>
  <c r="H213" i="11" s="1"/>
  <c r="G203" i="11"/>
  <c r="G211" i="11" s="1"/>
  <c r="G213" i="11" s="1"/>
  <c r="F203" i="11"/>
  <c r="D203" i="11"/>
  <c r="D211" i="11" s="1"/>
  <c r="D213" i="11" s="1"/>
  <c r="C203" i="11"/>
  <c r="C211" i="11" s="1"/>
  <c r="C213" i="11" s="1"/>
  <c r="B203" i="11"/>
  <c r="J203" i="11" s="1"/>
  <c r="H186" i="11"/>
  <c r="G186" i="11"/>
  <c r="F186" i="11"/>
  <c r="E186" i="11"/>
  <c r="D186" i="11"/>
  <c r="C186" i="11"/>
  <c r="B186" i="11"/>
  <c r="H185" i="11"/>
  <c r="F185" i="11"/>
  <c r="D185" i="11"/>
  <c r="H183" i="11"/>
  <c r="G183" i="11"/>
  <c r="G185" i="11" s="1"/>
  <c r="F183" i="11"/>
  <c r="D183" i="11"/>
  <c r="C183" i="11"/>
  <c r="C185" i="11" s="1"/>
  <c r="I182" i="11"/>
  <c r="E182" i="11"/>
  <c r="J181" i="11"/>
  <c r="I181" i="11"/>
  <c r="E181" i="11"/>
  <c r="I180" i="11"/>
  <c r="I186" i="11" s="1"/>
  <c r="E180" i="11"/>
  <c r="J180" i="11" s="1"/>
  <c r="J186" i="11" s="1"/>
  <c r="I179" i="11"/>
  <c r="E179" i="11"/>
  <c r="J179" i="11" s="1"/>
  <c r="B179" i="11"/>
  <c r="B183" i="11" s="1"/>
  <c r="B185" i="11" s="1"/>
  <c r="I178" i="11"/>
  <c r="E178" i="11"/>
  <c r="J178" i="11" s="1"/>
  <c r="J177" i="11"/>
  <c r="I177" i="11"/>
  <c r="E177" i="11"/>
  <c r="J176" i="11"/>
  <c r="I176" i="11"/>
  <c r="E176" i="11"/>
  <c r="E183" i="11" s="1"/>
  <c r="E185" i="11" s="1"/>
  <c r="J175" i="11"/>
  <c r="J183" i="11" s="1"/>
  <c r="J185" i="11" s="1"/>
  <c r="I175" i="11"/>
  <c r="I183" i="11" s="1"/>
  <c r="I185" i="11" s="1"/>
  <c r="H159" i="11"/>
  <c r="G159" i="11"/>
  <c r="F159" i="11"/>
  <c r="D159" i="11"/>
  <c r="C159" i="11"/>
  <c r="B159" i="11"/>
  <c r="J154" i="11"/>
  <c r="I154" i="11"/>
  <c r="E154" i="11"/>
  <c r="I153" i="11"/>
  <c r="E153" i="11"/>
  <c r="J153" i="11" s="1"/>
  <c r="I152" i="11"/>
  <c r="I159" i="11" s="1"/>
  <c r="E152" i="11"/>
  <c r="E159" i="11" s="1"/>
  <c r="I151" i="11"/>
  <c r="B151" i="11"/>
  <c r="I150" i="11"/>
  <c r="E150" i="11"/>
  <c r="J150" i="11" s="1"/>
  <c r="H149" i="11"/>
  <c r="G149" i="11"/>
  <c r="F149" i="11"/>
  <c r="I149" i="11" s="1"/>
  <c r="D149" i="11"/>
  <c r="C149" i="11"/>
  <c r="E149" i="11" s="1"/>
  <c r="J149" i="11" s="1"/>
  <c r="H148" i="11"/>
  <c r="G148" i="11"/>
  <c r="F148" i="11"/>
  <c r="I148" i="11" s="1"/>
  <c r="D148" i="11"/>
  <c r="C148" i="11"/>
  <c r="B148" i="11"/>
  <c r="E148" i="11" s="1"/>
  <c r="H147" i="11"/>
  <c r="H155" i="11" s="1"/>
  <c r="H157" i="11" s="1"/>
  <c r="G147" i="11"/>
  <c r="G155" i="11" s="1"/>
  <c r="G157" i="11" s="1"/>
  <c r="F147" i="11"/>
  <c r="F155" i="11" s="1"/>
  <c r="F157" i="11" s="1"/>
  <c r="D147" i="11"/>
  <c r="D155" i="11" s="1"/>
  <c r="D157" i="11" s="1"/>
  <c r="C147" i="11"/>
  <c r="C155" i="11" s="1"/>
  <c r="C157" i="11" s="1"/>
  <c r="B147" i="11"/>
  <c r="J147" i="11" s="1"/>
  <c r="H131" i="11"/>
  <c r="G131" i="11"/>
  <c r="F131" i="11"/>
  <c r="D131" i="11"/>
  <c r="C131" i="11"/>
  <c r="B131" i="11"/>
  <c r="H129" i="11"/>
  <c r="F129" i="11"/>
  <c r="D129" i="11"/>
  <c r="H127" i="11"/>
  <c r="G127" i="11"/>
  <c r="G129" i="11" s="1"/>
  <c r="F127" i="11"/>
  <c r="D127" i="11"/>
  <c r="C127" i="11"/>
  <c r="C129" i="11" s="1"/>
  <c r="I126" i="11"/>
  <c r="E126" i="11"/>
  <c r="I125" i="11"/>
  <c r="E125" i="11"/>
  <c r="J125" i="11" s="1"/>
  <c r="I124" i="11"/>
  <c r="I131" i="11" s="1"/>
  <c r="E124" i="11"/>
  <c r="J124" i="11" s="1"/>
  <c r="J131" i="11" s="1"/>
  <c r="J123" i="11"/>
  <c r="I123" i="11"/>
  <c r="E123" i="11"/>
  <c r="B123" i="11"/>
  <c r="B127" i="11" s="1"/>
  <c r="B129" i="11" s="1"/>
  <c r="J122" i="11"/>
  <c r="I122" i="11"/>
  <c r="E122" i="11"/>
  <c r="J121" i="11"/>
  <c r="I121" i="11"/>
  <c r="I127" i="11" s="1"/>
  <c r="I129" i="11" s="1"/>
  <c r="E121" i="11"/>
  <c r="I120" i="11"/>
  <c r="E120" i="11"/>
  <c r="J120" i="11" s="1"/>
  <c r="J119" i="11"/>
  <c r="J127" i="11" s="1"/>
  <c r="J129" i="11" s="1"/>
  <c r="I119" i="11"/>
  <c r="H103" i="11"/>
  <c r="G103" i="11"/>
  <c r="F103" i="11"/>
  <c r="E103" i="11"/>
  <c r="D103" i="11"/>
  <c r="C103" i="11"/>
  <c r="B103" i="11"/>
  <c r="H101" i="11"/>
  <c r="F101" i="11"/>
  <c r="D101" i="11"/>
  <c r="B101" i="11"/>
  <c r="H99" i="11"/>
  <c r="G99" i="11"/>
  <c r="G101" i="11" s="1"/>
  <c r="F99" i="11"/>
  <c r="D99" i="11"/>
  <c r="C99" i="11"/>
  <c r="C101" i="11" s="1"/>
  <c r="B99" i="11"/>
  <c r="I98" i="11"/>
  <c r="E98" i="11"/>
  <c r="J97" i="11"/>
  <c r="I97" i="11"/>
  <c r="E97" i="11"/>
  <c r="I96" i="11"/>
  <c r="I103" i="11" s="1"/>
  <c r="E96" i="11"/>
  <c r="J96" i="11" s="1"/>
  <c r="J103" i="11" s="1"/>
  <c r="I95" i="11"/>
  <c r="E95" i="11"/>
  <c r="J95" i="11" s="1"/>
  <c r="I94" i="11"/>
  <c r="E94" i="11"/>
  <c r="J94" i="11" s="1"/>
  <c r="J93" i="11"/>
  <c r="I93" i="11"/>
  <c r="E93" i="11"/>
  <c r="E99" i="11" s="1"/>
  <c r="E101" i="11" s="1"/>
  <c r="I92" i="11"/>
  <c r="E92" i="11"/>
  <c r="J92" i="11" s="1"/>
  <c r="J91" i="11"/>
  <c r="I91" i="11"/>
  <c r="I99" i="11" s="1"/>
  <c r="I101" i="11" s="1"/>
  <c r="H75" i="11"/>
  <c r="G75" i="11"/>
  <c r="F75" i="11"/>
  <c r="D75" i="11"/>
  <c r="C75" i="11"/>
  <c r="B75" i="11"/>
  <c r="G73" i="11"/>
  <c r="C73" i="11"/>
  <c r="H71" i="11"/>
  <c r="H73" i="11" s="1"/>
  <c r="G71" i="11"/>
  <c r="F71" i="11"/>
  <c r="F73" i="11" s="1"/>
  <c r="D71" i="11"/>
  <c r="D73" i="11" s="1"/>
  <c r="C71" i="11"/>
  <c r="B71" i="11"/>
  <c r="B73" i="11" s="1"/>
  <c r="I70" i="11"/>
  <c r="E70" i="11"/>
  <c r="I69" i="11"/>
  <c r="E69" i="11"/>
  <c r="J69" i="11" s="1"/>
  <c r="J68" i="11"/>
  <c r="J75" i="11" s="1"/>
  <c r="I68" i="11"/>
  <c r="I75" i="11" s="1"/>
  <c r="E68" i="11"/>
  <c r="E75" i="11" s="1"/>
  <c r="I67" i="11"/>
  <c r="E67" i="11"/>
  <c r="J67" i="11" s="1"/>
  <c r="I66" i="11"/>
  <c r="E66" i="11"/>
  <c r="J66" i="11" s="1"/>
  <c r="I65" i="11"/>
  <c r="E65" i="11"/>
  <c r="J65" i="11" s="1"/>
  <c r="J64" i="11"/>
  <c r="I64" i="11"/>
  <c r="E64" i="11"/>
  <c r="E71" i="11" s="1"/>
  <c r="E73" i="11" s="1"/>
  <c r="J63" i="11"/>
  <c r="J71" i="11" s="1"/>
  <c r="J73" i="11" s="1"/>
  <c r="I63" i="11"/>
  <c r="H47" i="11"/>
  <c r="G47" i="11"/>
  <c r="F47" i="11"/>
  <c r="D47" i="11"/>
  <c r="C47" i="11"/>
  <c r="B47" i="11"/>
  <c r="H45" i="11"/>
  <c r="F45" i="11"/>
  <c r="D45" i="11"/>
  <c r="H43" i="11"/>
  <c r="G43" i="11"/>
  <c r="G45" i="11" s="1"/>
  <c r="F43" i="11"/>
  <c r="D43" i="11"/>
  <c r="C43" i="11"/>
  <c r="C45" i="11" s="1"/>
  <c r="I42" i="11"/>
  <c r="E42" i="11"/>
  <c r="I41" i="11"/>
  <c r="E41" i="11"/>
  <c r="J41" i="11" s="1"/>
  <c r="I40" i="11"/>
  <c r="E40" i="11"/>
  <c r="J40" i="11" s="1"/>
  <c r="J39" i="11"/>
  <c r="I39" i="11"/>
  <c r="E39" i="11"/>
  <c r="B39" i="11"/>
  <c r="B43" i="11" s="1"/>
  <c r="B45" i="11" s="1"/>
  <c r="J38" i="11"/>
  <c r="J47" i="11" s="1"/>
  <c r="I38" i="11"/>
  <c r="I47" i="11" s="1"/>
  <c r="E38" i="11"/>
  <c r="E47" i="11" s="1"/>
  <c r="J37" i="11"/>
  <c r="I37" i="11"/>
  <c r="I43" i="11" s="1"/>
  <c r="I45" i="11" s="1"/>
  <c r="E37" i="11"/>
  <c r="I36" i="11"/>
  <c r="E36" i="11"/>
  <c r="J36" i="11" s="1"/>
  <c r="J35" i="11"/>
  <c r="J43" i="11" s="1"/>
  <c r="J45" i="11" s="1"/>
  <c r="I35" i="11"/>
  <c r="I19" i="11"/>
  <c r="E19" i="11"/>
  <c r="B19" i="11"/>
  <c r="I15" i="11"/>
  <c r="I17" i="11" s="1"/>
  <c r="E15" i="11"/>
  <c r="E17" i="11" s="1"/>
  <c r="C15" i="11"/>
  <c r="C17" i="11" s="1"/>
  <c r="H14" i="11"/>
  <c r="G14" i="11"/>
  <c r="F14" i="11"/>
  <c r="D14" i="11"/>
  <c r="J14" i="11" s="1"/>
  <c r="J13" i="11"/>
  <c r="J12" i="11"/>
  <c r="J11" i="11"/>
  <c r="H10" i="11"/>
  <c r="G10" i="11"/>
  <c r="F10" i="11"/>
  <c r="D10" i="11"/>
  <c r="C10" i="11"/>
  <c r="B10" i="11"/>
  <c r="J10" i="11" s="1"/>
  <c r="H9" i="11"/>
  <c r="H19" i="11" s="1"/>
  <c r="G9" i="11"/>
  <c r="G19" i="11" s="1"/>
  <c r="F9" i="11"/>
  <c r="F19" i="11" s="1"/>
  <c r="D9" i="11"/>
  <c r="D19" i="11" s="1"/>
  <c r="C9" i="11"/>
  <c r="H8" i="11"/>
  <c r="G8" i="11"/>
  <c r="F8" i="11"/>
  <c r="D8" i="11"/>
  <c r="C8" i="11"/>
  <c r="J8" i="11" s="1"/>
  <c r="B8" i="11"/>
  <c r="H7" i="11"/>
  <c r="H15" i="11" s="1"/>
  <c r="H17" i="11" s="1"/>
  <c r="G7" i="11"/>
  <c r="G15" i="11" s="1"/>
  <c r="G17" i="11" s="1"/>
  <c r="F7" i="11"/>
  <c r="D7" i="11"/>
  <c r="D15" i="11" s="1"/>
  <c r="D17" i="11" s="1"/>
  <c r="C7" i="11"/>
  <c r="B7" i="11"/>
  <c r="B10" i="1"/>
  <c r="R45" i="7"/>
  <c r="B20" i="8"/>
  <c r="B14" i="8"/>
  <c r="Q33" i="7"/>
  <c r="R36" i="7" s="1"/>
  <c r="Q34" i="7"/>
  <c r="Q45" i="7"/>
  <c r="Q46" i="7" s="1"/>
  <c r="C20" i="8"/>
  <c r="C14" i="8"/>
  <c r="F7" i="10" l="1"/>
  <c r="F9" i="10"/>
  <c r="H9" i="10"/>
  <c r="D7" i="10"/>
  <c r="D8" i="10"/>
  <c r="C7" i="10"/>
  <c r="G7" i="10"/>
  <c r="G8" i="10"/>
  <c r="F8" i="10"/>
  <c r="J93" i="10"/>
  <c r="B8" i="10"/>
  <c r="J94" i="10"/>
  <c r="B9" i="10"/>
  <c r="J126" i="10"/>
  <c r="B7" i="10"/>
  <c r="J92" i="10"/>
  <c r="J127" i="10"/>
  <c r="J128" i="10"/>
  <c r="E43" i="11"/>
  <c r="E45" i="11" s="1"/>
  <c r="F15" i="11"/>
  <c r="F17" i="11" s="1"/>
  <c r="I267" i="11"/>
  <c r="I269" i="11" s="1"/>
  <c r="E295" i="11"/>
  <c r="E297" i="11" s="1"/>
  <c r="I211" i="11"/>
  <c r="I213" i="11" s="1"/>
  <c r="J99" i="11"/>
  <c r="J101" i="11" s="1"/>
  <c r="B15" i="11"/>
  <c r="B17" i="11" s="1"/>
  <c r="J7" i="11"/>
  <c r="J15" i="11" s="1"/>
  <c r="J17" i="11" s="1"/>
  <c r="J9" i="11"/>
  <c r="J19" i="11" s="1"/>
  <c r="I71" i="11"/>
  <c r="I73" i="11" s="1"/>
  <c r="J215" i="11"/>
  <c r="E127" i="11"/>
  <c r="E129" i="11" s="1"/>
  <c r="J148" i="11"/>
  <c r="D267" i="11"/>
  <c r="D269" i="11" s="1"/>
  <c r="E151" i="11"/>
  <c r="J151" i="11" s="1"/>
  <c r="B155" i="11"/>
  <c r="B157" i="11" s="1"/>
  <c r="E204" i="11"/>
  <c r="E211" i="11" s="1"/>
  <c r="E213" i="11" s="1"/>
  <c r="E215" i="11"/>
  <c r="J236" i="11"/>
  <c r="J243" i="11" s="1"/>
  <c r="F239" i="11"/>
  <c r="F241" i="11" s="1"/>
  <c r="C271" i="11"/>
  <c r="G271" i="11"/>
  <c r="J292" i="11"/>
  <c r="J299" i="11" s="1"/>
  <c r="B295" i="11"/>
  <c r="B297" i="11" s="1"/>
  <c r="F295" i="11"/>
  <c r="F297" i="11" s="1"/>
  <c r="D299" i="11"/>
  <c r="H299" i="11"/>
  <c r="F271" i="11"/>
  <c r="J291" i="11"/>
  <c r="J295" i="11" s="1"/>
  <c r="J297" i="11" s="1"/>
  <c r="C19" i="11"/>
  <c r="E131" i="11"/>
  <c r="I147" i="11"/>
  <c r="I155" i="11" s="1"/>
  <c r="I157" i="11" s="1"/>
  <c r="J152" i="11"/>
  <c r="J159" i="11" s="1"/>
  <c r="J233" i="11"/>
  <c r="J239" i="11" s="1"/>
  <c r="J241" i="11" s="1"/>
  <c r="B264" i="11"/>
  <c r="F267" i="11"/>
  <c r="F269" i="11" s="1"/>
  <c r="J7" i="10" l="1"/>
  <c r="J155" i="11"/>
  <c r="J157" i="11" s="1"/>
  <c r="E155" i="11"/>
  <c r="E157" i="11" s="1"/>
  <c r="B271" i="11"/>
  <c r="B267" i="11"/>
  <c r="B269" i="11" s="1"/>
  <c r="B237" i="11"/>
  <c r="E264" i="11"/>
  <c r="J264" i="11" s="1"/>
  <c r="J204" i="11"/>
  <c r="J211" i="11" s="1"/>
  <c r="J213" i="11" s="1"/>
  <c r="J271" i="11" l="1"/>
  <c r="J267" i="11"/>
  <c r="J269" i="11" s="1"/>
  <c r="E271" i="11"/>
  <c r="E267" i="11"/>
  <c r="E269" i="11" s="1"/>
  <c r="B243" i="11"/>
  <c r="E237" i="11"/>
  <c r="B239" i="11"/>
  <c r="B241" i="11" s="1"/>
  <c r="E239" i="11" l="1"/>
  <c r="E241" i="11" s="1"/>
  <c r="E243" i="11"/>
  <c r="L10" i="1" l="1"/>
  <c r="K10" i="1"/>
  <c r="I10" i="1"/>
  <c r="H10" i="1"/>
  <c r="F10" i="1"/>
  <c r="D10" i="1"/>
  <c r="D14" i="1" s="1"/>
  <c r="C10" i="1"/>
  <c r="B14" i="1"/>
  <c r="M12" i="1"/>
  <c r="M9" i="1"/>
  <c r="M8" i="1"/>
  <c r="M7" i="1"/>
  <c r="E15" i="10"/>
  <c r="I15" i="10"/>
  <c r="I41" i="10"/>
  <c r="E42" i="10"/>
  <c r="I42" i="10"/>
  <c r="E43" i="10"/>
  <c r="I43" i="10"/>
  <c r="E44" i="10"/>
  <c r="I44" i="10"/>
  <c r="E45" i="10"/>
  <c r="I45" i="10"/>
  <c r="E46" i="10"/>
  <c r="F49" i="10"/>
  <c r="E47" i="10"/>
  <c r="I47" i="10"/>
  <c r="D49" i="10"/>
  <c r="I48" i="10"/>
  <c r="B49" i="10"/>
  <c r="H49" i="10"/>
  <c r="M10" i="1" l="1"/>
  <c r="H15" i="10"/>
  <c r="J8" i="10"/>
  <c r="J10" i="10"/>
  <c r="J9" i="10"/>
  <c r="J14" i="10"/>
  <c r="M13" i="1"/>
  <c r="G15" i="10"/>
  <c r="E49" i="10"/>
  <c r="J49" i="10"/>
  <c r="G49" i="10"/>
  <c r="I46" i="10"/>
  <c r="I49" i="10" s="1"/>
  <c r="I184" i="10"/>
  <c r="I183" i="10"/>
  <c r="F182" i="10"/>
  <c r="D185" i="10"/>
  <c r="D187" i="10" s="1"/>
  <c r="C182" i="10"/>
  <c r="B182" i="10"/>
  <c r="H185" i="10"/>
  <c r="H187" i="10" s="1"/>
  <c r="C181" i="10"/>
  <c r="B165" i="10"/>
  <c r="B12" i="10" s="1"/>
  <c r="I180" i="10"/>
  <c r="E180" i="10"/>
  <c r="I179" i="10"/>
  <c r="E179" i="10"/>
  <c r="I178" i="10"/>
  <c r="E178" i="10"/>
  <c r="I177" i="10"/>
  <c r="I167" i="10"/>
  <c r="D165" i="10"/>
  <c r="I163" i="10"/>
  <c r="E163" i="10"/>
  <c r="J163" i="10" s="1"/>
  <c r="I162" i="10"/>
  <c r="E162" i="10"/>
  <c r="J162" i="10" s="1"/>
  <c r="I161" i="10"/>
  <c r="E161" i="10"/>
  <c r="J161" i="10" s="1"/>
  <c r="J160" i="10"/>
  <c r="I160" i="10"/>
  <c r="I150" i="10"/>
  <c r="I146" i="10"/>
  <c r="E146" i="10"/>
  <c r="J146" i="10" s="1"/>
  <c r="I145" i="10"/>
  <c r="E145" i="10"/>
  <c r="J145" i="10" s="1"/>
  <c r="I144" i="10"/>
  <c r="E144" i="10"/>
  <c r="J144" i="10" s="1"/>
  <c r="I143" i="10"/>
  <c r="E128" i="10"/>
  <c r="I133" i="10"/>
  <c r="I129" i="10"/>
  <c r="E129" i="10"/>
  <c r="I116" i="10"/>
  <c r="J113" i="10"/>
  <c r="I112" i="10"/>
  <c r="E112" i="10"/>
  <c r="I111" i="10"/>
  <c r="I110" i="10"/>
  <c r="E110" i="10"/>
  <c r="I109" i="10"/>
  <c r="I99" i="10"/>
  <c r="J96" i="10"/>
  <c r="I95" i="10"/>
  <c r="E95" i="10"/>
  <c r="I82" i="10"/>
  <c r="J79" i="10"/>
  <c r="I78" i="10"/>
  <c r="E78" i="10"/>
  <c r="I77" i="10"/>
  <c r="E77" i="10"/>
  <c r="I76" i="10"/>
  <c r="E76" i="10"/>
  <c r="I75" i="10"/>
  <c r="I65" i="10"/>
  <c r="I61" i="10"/>
  <c r="E61" i="10"/>
  <c r="I60" i="10"/>
  <c r="E60" i="10"/>
  <c r="I59" i="10"/>
  <c r="E59" i="10"/>
  <c r="I58" i="10"/>
  <c r="F12" i="10" l="1"/>
  <c r="F15" i="10" s="1"/>
  <c r="C166" i="10"/>
  <c r="B166" i="10"/>
  <c r="E166" i="10" s="1"/>
  <c r="J182" i="10"/>
  <c r="C185" i="10"/>
  <c r="C187" i="10" s="1"/>
  <c r="C11" i="10"/>
  <c r="J181" i="10"/>
  <c r="D168" i="10"/>
  <c r="D170" i="10" s="1"/>
  <c r="D12" i="10"/>
  <c r="D15" i="10" s="1"/>
  <c r="I182" i="10"/>
  <c r="B185" i="10"/>
  <c r="B187" i="10" s="1"/>
  <c r="E182" i="10"/>
  <c r="H168" i="10"/>
  <c r="H170" i="10" s="1"/>
  <c r="I164" i="10"/>
  <c r="E164" i="10"/>
  <c r="J164" i="10" s="1"/>
  <c r="C165" i="10"/>
  <c r="C12" i="10" s="1"/>
  <c r="I166" i="10"/>
  <c r="B149" i="10"/>
  <c r="I181" i="10"/>
  <c r="F185" i="10"/>
  <c r="F187" i="10" s="1"/>
  <c r="G168" i="10"/>
  <c r="G170" i="10" s="1"/>
  <c r="I165" i="10"/>
  <c r="G185" i="10"/>
  <c r="G187" i="10" s="1"/>
  <c r="I149" i="10"/>
  <c r="E181" i="10"/>
  <c r="I147" i="10"/>
  <c r="I127" i="10"/>
  <c r="I92" i="10"/>
  <c r="E147" i="10"/>
  <c r="J147" i="10" s="1"/>
  <c r="J143" i="10"/>
  <c r="E113" i="10"/>
  <c r="I128" i="10"/>
  <c r="I126" i="10"/>
  <c r="E127" i="10"/>
  <c r="I113" i="10"/>
  <c r="I130" i="10"/>
  <c r="E130" i="10"/>
  <c r="I79" i="10"/>
  <c r="E111" i="10"/>
  <c r="I94" i="10"/>
  <c r="I93" i="10"/>
  <c r="E94" i="10"/>
  <c r="E93" i="10"/>
  <c r="I96" i="10"/>
  <c r="E96" i="10"/>
  <c r="E79" i="10"/>
  <c r="E62" i="10"/>
  <c r="I62" i="10"/>
  <c r="I24" i="10"/>
  <c r="I25" i="10"/>
  <c r="E26" i="10"/>
  <c r="I26" i="10"/>
  <c r="E27" i="10"/>
  <c r="I27" i="10"/>
  <c r="J28" i="10"/>
  <c r="I31" i="10"/>
  <c r="J12" i="10" l="1"/>
  <c r="J11" i="10"/>
  <c r="I185" i="10"/>
  <c r="I187" i="10" s="1"/>
  <c r="B13" i="10"/>
  <c r="B168" i="10"/>
  <c r="B170" i="10" s="1"/>
  <c r="B151" i="10"/>
  <c r="E185" i="10"/>
  <c r="E187" i="10" s="1"/>
  <c r="F168" i="10"/>
  <c r="F170" i="10" s="1"/>
  <c r="I168" i="10"/>
  <c r="I170" i="10" s="1"/>
  <c r="J185" i="10"/>
  <c r="J187" i="10" s="1"/>
  <c r="C149" i="10"/>
  <c r="C13" i="10" s="1"/>
  <c r="C15" i="10" s="1"/>
  <c r="C168" i="10"/>
  <c r="C170" i="10" s="1"/>
  <c r="E165" i="10"/>
  <c r="I28" i="10"/>
  <c r="E28" i="10"/>
  <c r="J13" i="10" l="1"/>
  <c r="B15" i="10"/>
  <c r="E149" i="10"/>
  <c r="J15" i="10"/>
  <c r="J17" i="10" s="1"/>
  <c r="E168" i="10"/>
  <c r="E170" i="10" s="1"/>
  <c r="J165" i="10"/>
  <c r="J168" i="10" s="1"/>
  <c r="J170" i="10" s="1"/>
  <c r="D151" i="10"/>
  <c r="D134" i="10"/>
  <c r="F13" i="7"/>
  <c r="I131" i="10" l="1"/>
  <c r="D136" i="10"/>
  <c r="C134" i="10"/>
  <c r="C151" i="10"/>
  <c r="G151" i="10"/>
  <c r="F134" i="10"/>
  <c r="F151" i="10"/>
  <c r="I148" i="10"/>
  <c r="I151" i="10" s="1"/>
  <c r="I153" i="10" s="1"/>
  <c r="E148" i="10"/>
  <c r="E151" i="10" s="1"/>
  <c r="E153" i="10" s="1"/>
  <c r="H151" i="10"/>
  <c r="H134" i="10"/>
  <c r="D153" i="10"/>
  <c r="D117" i="10"/>
  <c r="E131" i="10"/>
  <c r="R7" i="7"/>
  <c r="P15" i="7" s="1"/>
  <c r="Q15" i="7" s="1"/>
  <c r="U40" i="7"/>
  <c r="R43" i="7"/>
  <c r="I115" i="10" l="1"/>
  <c r="C136" i="10"/>
  <c r="F136" i="10"/>
  <c r="F153" i="10"/>
  <c r="D100" i="10"/>
  <c r="E132" i="10"/>
  <c r="E134" i="10" s="1"/>
  <c r="E136" i="10" s="1"/>
  <c r="H153" i="10"/>
  <c r="I132" i="10"/>
  <c r="G134" i="10"/>
  <c r="H136" i="10"/>
  <c r="B134" i="10"/>
  <c r="B153" i="10"/>
  <c r="G153" i="10"/>
  <c r="E115" i="10"/>
  <c r="J148" i="10"/>
  <c r="D119" i="10"/>
  <c r="C153" i="10"/>
  <c r="J151" i="10" l="1"/>
  <c r="J153" i="10" s="1"/>
  <c r="I134" i="10"/>
  <c r="I136" i="10" s="1"/>
  <c r="D102" i="10"/>
  <c r="D83" i="10"/>
  <c r="G117" i="10"/>
  <c r="H100" i="10"/>
  <c r="H117" i="10"/>
  <c r="F100" i="10"/>
  <c r="F117" i="10"/>
  <c r="I114" i="10"/>
  <c r="I117" i="10" s="1"/>
  <c r="I119" i="10" s="1"/>
  <c r="G136" i="10"/>
  <c r="I97" i="10"/>
  <c r="E114" i="10"/>
  <c r="E117" i="10" s="1"/>
  <c r="E119" i="10" s="1"/>
  <c r="B117" i="10"/>
  <c r="B136" i="10"/>
  <c r="C100" i="10"/>
  <c r="C117" i="10"/>
  <c r="J134" i="10" l="1"/>
  <c r="J136" i="10" s="1"/>
  <c r="I120" i="10"/>
  <c r="J117" i="10"/>
  <c r="J119" i="10" s="1"/>
  <c r="E98" i="10"/>
  <c r="E120" i="10"/>
  <c r="C102" i="10"/>
  <c r="B119" i="10"/>
  <c r="H119" i="10"/>
  <c r="B100" i="10"/>
  <c r="E97" i="10"/>
  <c r="H102" i="10"/>
  <c r="D85" i="10"/>
  <c r="F102" i="10"/>
  <c r="I81" i="10"/>
  <c r="G100" i="10"/>
  <c r="C119" i="10"/>
  <c r="F119" i="10"/>
  <c r="D66" i="10"/>
  <c r="G119" i="10"/>
  <c r="I98" i="10"/>
  <c r="I100" i="10" s="1"/>
  <c r="I102" i="10" s="1"/>
  <c r="D51" i="10" l="1"/>
  <c r="B83" i="10"/>
  <c r="E80" i="10"/>
  <c r="I63" i="10"/>
  <c r="G102" i="10"/>
  <c r="D68" i="10"/>
  <c r="E81" i="10"/>
  <c r="F83" i="10"/>
  <c r="I80" i="10"/>
  <c r="E100" i="10"/>
  <c r="E102" i="10" s="1"/>
  <c r="B102" i="10"/>
  <c r="G83" i="10"/>
  <c r="C83" i="10"/>
  <c r="H83" i="10"/>
  <c r="I64" i="10" l="1"/>
  <c r="C66" i="10"/>
  <c r="C85" i="10"/>
  <c r="F85" i="10"/>
  <c r="E83" i="10"/>
  <c r="E85" i="10" s="1"/>
  <c r="D32" i="10"/>
  <c r="D34" i="10" s="1"/>
  <c r="B85" i="10"/>
  <c r="H66" i="10"/>
  <c r="E64" i="10"/>
  <c r="G85" i="10"/>
  <c r="J100" i="10"/>
  <c r="J102" i="10" s="1"/>
  <c r="H85" i="10"/>
  <c r="F66" i="10"/>
  <c r="G66" i="10"/>
  <c r="B66" i="10"/>
  <c r="E63" i="10"/>
  <c r="I83" i="10"/>
  <c r="I85" i="10" s="1"/>
  <c r="S8" i="7"/>
  <c r="E8" i="1"/>
  <c r="E7" i="1"/>
  <c r="J8" i="1"/>
  <c r="J10" i="1" s="1"/>
  <c r="J9" i="1"/>
  <c r="J11" i="1"/>
  <c r="J12" i="1"/>
  <c r="J7" i="1"/>
  <c r="G7" i="1"/>
  <c r="E9" i="1"/>
  <c r="G8" i="1"/>
  <c r="G10" i="1" s="1"/>
  <c r="G9" i="1"/>
  <c r="G11" i="1"/>
  <c r="G12" i="1"/>
  <c r="E11" i="1"/>
  <c r="E12" i="1"/>
  <c r="H13" i="1"/>
  <c r="I13" i="1"/>
  <c r="E10" i="1" l="1"/>
  <c r="I66" i="10"/>
  <c r="I68" i="10" s="1"/>
  <c r="D17" i="10"/>
  <c r="J83" i="10"/>
  <c r="J85" i="10" s="1"/>
  <c r="F51" i="10"/>
  <c r="G68" i="10"/>
  <c r="B68" i="10"/>
  <c r="J66" i="10"/>
  <c r="J68" i="10" s="1"/>
  <c r="E66" i="10"/>
  <c r="E68" i="10" s="1"/>
  <c r="F68" i="10"/>
  <c r="H68" i="10"/>
  <c r="C68" i="10"/>
  <c r="D13" i="1"/>
  <c r="H14" i="1"/>
  <c r="H15" i="1" s="1"/>
  <c r="J13" i="1"/>
  <c r="D15" i="1"/>
  <c r="F14" i="1"/>
  <c r="I14" i="1"/>
  <c r="I15" i="1" s="1"/>
  <c r="K14" i="1"/>
  <c r="L14" i="1"/>
  <c r="I14" i="8"/>
  <c r="I8" i="8"/>
  <c r="H8" i="8"/>
  <c r="G8" i="8"/>
  <c r="D8" i="8"/>
  <c r="I30" i="10" l="1"/>
  <c r="J30" i="10" s="1"/>
  <c r="G34" i="10"/>
  <c r="I51" i="10"/>
  <c r="H32" i="10"/>
  <c r="H34" i="10" s="1"/>
  <c r="B32" i="10"/>
  <c r="B34" i="10" s="1"/>
  <c r="E29" i="10"/>
  <c r="E51" i="10"/>
  <c r="C51" i="10"/>
  <c r="G51" i="10"/>
  <c r="J51" i="10"/>
  <c r="B51" i="10"/>
  <c r="F32" i="10"/>
  <c r="F34" i="10" s="1"/>
  <c r="I29" i="10"/>
  <c r="C32" i="10"/>
  <c r="C34" i="10" s="1"/>
  <c r="H51" i="10"/>
  <c r="C14" i="1"/>
  <c r="E13" i="1"/>
  <c r="J14" i="1"/>
  <c r="J15" i="1" s="1"/>
  <c r="G14" i="1"/>
  <c r="G15" i="1" s="1"/>
  <c r="G13" i="1"/>
  <c r="B13" i="1"/>
  <c r="L13" i="1"/>
  <c r="K13" i="1"/>
  <c r="F13" i="1"/>
  <c r="C13" i="1"/>
  <c r="D20" i="8"/>
  <c r="I20" i="8"/>
  <c r="J8" i="8"/>
  <c r="H14" i="8"/>
  <c r="J14" i="8" s="1"/>
  <c r="H20" i="8"/>
  <c r="D14" i="8"/>
  <c r="J29" i="10" l="1"/>
  <c r="M14" i="1"/>
  <c r="M15" i="1" s="1"/>
  <c r="I32" i="10"/>
  <c r="I34" i="10" s="1"/>
  <c r="B17" i="10"/>
  <c r="G17" i="10"/>
  <c r="H17" i="10"/>
  <c r="F17" i="10"/>
  <c r="C17" i="10"/>
  <c r="E32" i="10"/>
  <c r="E34" i="10" s="1"/>
  <c r="E14" i="1"/>
  <c r="E15" i="1" s="1"/>
  <c r="J20" i="8"/>
  <c r="Q47" i="7"/>
  <c r="R44" i="7"/>
  <c r="S36" i="7"/>
  <c r="Q35" i="7"/>
  <c r="Q8" i="7"/>
  <c r="J32" i="10" l="1"/>
  <c r="J34" i="10" s="1"/>
  <c r="I17" i="10"/>
  <c r="E17" i="10"/>
  <c r="R46" i="7"/>
  <c r="K15" i="1" l="1"/>
  <c r="B15" i="1"/>
  <c r="F15" i="1" l="1"/>
  <c r="L15" i="1"/>
  <c r="C15" i="1"/>
</calcChain>
</file>

<file path=xl/sharedStrings.xml><?xml version="1.0" encoding="utf-8"?>
<sst xmlns="http://schemas.openxmlformats.org/spreadsheetml/2006/main" count="650" uniqueCount="98">
  <si>
    <t>เงินเดือนและ</t>
  </si>
  <si>
    <t>ค่าจ้างชั่วคราว</t>
  </si>
  <si>
    <t>ค่าตอบแทน</t>
  </si>
  <si>
    <t>ค่าสาธารณูปโภค</t>
  </si>
  <si>
    <t>เงินอุดหนุน</t>
  </si>
  <si>
    <t>รายจ่ายอื่น</t>
  </si>
  <si>
    <t>รวมทั้งสิ้น</t>
  </si>
  <si>
    <t>ค่าจ้างประจำ</t>
  </si>
  <si>
    <t>ใช้สอยและวัสดุ</t>
  </si>
  <si>
    <t>ที่ดินและสิ่งก่อสร้าง</t>
  </si>
  <si>
    <t>งบประมาณ</t>
  </si>
  <si>
    <t>งบประมาณได้รับอนุมัติ</t>
  </si>
  <si>
    <t>โอนลด -</t>
  </si>
  <si>
    <t>โอนเพิ่ม +</t>
  </si>
  <si>
    <t>งบประมาณหลังปรับโอน</t>
  </si>
  <si>
    <t>ผลการเบิกจ่าย</t>
  </si>
  <si>
    <t>ผลการเบิกจ่ายทั้งสิ้น</t>
  </si>
  <si>
    <t>คิดเป็นร้อยละ</t>
  </si>
  <si>
    <t>งบประมาณคงเหลือ</t>
  </si>
  <si>
    <t>เบิกจ่าย</t>
  </si>
  <si>
    <t>ก่อหนี้</t>
  </si>
  <si>
    <t>หลังปรับโอน</t>
  </si>
  <si>
    <t>ฝ่ายการศึกษา</t>
  </si>
  <si>
    <t>ฝ่ายปกครอง</t>
  </si>
  <si>
    <t>สรุปผลการเบิกจ่ายภาพรวม</t>
  </si>
  <si>
    <t>งบประมาณ กทม.</t>
  </si>
  <si>
    <t>งบประจำปี</t>
  </si>
  <si>
    <t>งบกลาง</t>
  </si>
  <si>
    <t>รวมงบ กทม.</t>
  </si>
  <si>
    <t>%</t>
  </si>
  <si>
    <t>รวมไตรมาสที่ 1</t>
  </si>
  <si>
    <t>รวมไตรมาสที่ 2</t>
  </si>
  <si>
    <t xml:space="preserve"> - ค่าจ้างชั่วคราว</t>
  </si>
  <si>
    <t xml:space="preserve"> - ค่าตอบแทนใช้สอยและวัสดุ</t>
  </si>
  <si>
    <t xml:space="preserve"> - ค่าสาธารณูปโภค</t>
  </si>
  <si>
    <t xml:space="preserve"> - ค่าครุภัณฑ์ </t>
  </si>
  <si>
    <t xml:space="preserve"> - ที่ดินและสิ่งก่อสร้าง</t>
  </si>
  <si>
    <t>รวมงบประมาณ</t>
  </si>
  <si>
    <t>รวมรวมทั้งสิ้น</t>
  </si>
  <si>
    <t>ก่อหนี้ผูกพัน</t>
  </si>
  <si>
    <t>เหลือ</t>
  </si>
  <si>
    <t>สรุปการก่อหนี้งบลงทุน</t>
  </si>
  <si>
    <t>สรุปการเบิกจ่ายงบลงทุน</t>
  </si>
  <si>
    <t>ปัญหาอุปสรรคในการดำเนินงาน</t>
  </si>
  <si>
    <t>ไตรมาสที่ 4    (กรกฎาคม - กันยายน 2567)   ร้อยละ 100</t>
  </si>
  <si>
    <t>การเบิกจ่ายงบประมาณภาพรวมรายไตรมาส</t>
  </si>
  <si>
    <t>ไตรมาสที่ 1    (ตุลาคม - ธันวาคม 2566)      ร้อยละ 15</t>
  </si>
  <si>
    <t>ไตรมาสที่ 2    (มกราคม - มีนาคม 2567)      ร้อยละ 35</t>
  </si>
  <si>
    <t>ไตรมาสที่ 3    (เมษายน - มิถุนายน 2567)     ร้อยละ 55</t>
  </si>
  <si>
    <t>ตุลาคม 2566 - มีนาคม 2567</t>
  </si>
  <si>
    <t>ประเภทงบรายจ่าย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</si>
  <si>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</si>
  <si>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</si>
  <si>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</si>
  <si>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</si>
  <si>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</si>
  <si>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</si>
  <si>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ค่าครุภัณฑ์ ที่ดินและสิ่งก่อสร้าง</t>
  </si>
  <si>
    <t>ครุภัณฑ์</t>
  </si>
  <si>
    <t xml:space="preserve"> - เงินเดือนและค่าจ้างประจำ</t>
  </si>
  <si>
    <t>ยังไม่ก่อหนี้ผูกพัน</t>
  </si>
  <si>
    <t>คงเหลือหลังก่อหนี้</t>
  </si>
  <si>
    <t>การเบิกจ่าย</t>
  </si>
  <si>
    <t>ฝ่ายทะเบียน</t>
  </si>
  <si>
    <t>ฝ่ายการคลัง</t>
  </si>
  <si>
    <t>ฝ่ายรายได้</t>
  </si>
  <si>
    <t>ฝ่ายรักษาความสะอาดและสวนสาธารณะ</t>
  </si>
  <si>
    <t>ฝ่ายเทศกิจ</t>
  </si>
  <si>
    <t>ฝ่ายโยธา</t>
  </si>
  <si>
    <t>ฝ่ายพัฒนาชุมชนและสวัสดิการสังคม</t>
  </si>
  <si>
    <t>ฝ่ายสิ่งแวดล้อมและสุขาภิบาล</t>
  </si>
  <si>
    <t>ปรับโอน</t>
  </si>
  <si>
    <t>งปม.คงเหลือ</t>
  </si>
  <si>
    <t>ยังไม่ก่อหนี้</t>
  </si>
  <si>
    <t>diff</t>
  </si>
  <si>
    <t xml:space="preserve">ผลดำเนินงาน งบลงทุน ค่าครุภัณฑ์ ที่ดินและสิ่งก่อสร้าง </t>
  </si>
  <si>
    <t>สรุปผลการดำเนินการ  : งบประมาณรายจ่ายประจำปีงบประมาณ พ.ศ. 2567</t>
  </si>
  <si>
    <t>สรุปผลการใช้จ่ายงบประมาณรายจ่ายประจำปีงบประมาณ พ.ศ. 2567</t>
  </si>
  <si>
    <t>สรุปผลการดำเนินการ : การใช้จ่ายเงินงบประมาณรายจ่ายประจำปีงบประมาณ พ.ศ. 2567</t>
  </si>
  <si>
    <t>สำนักงานเขตบึงกุ่ม</t>
  </si>
  <si>
    <t>2. การดำเนินงานก่อหนี้ผูกพัน งบลงทุน ไม่เป็นไปตามแนวทางปฏิบัติเกี่ยวกับการบริหารงบประมาณรายจ่ายประจำปีงบประมาณ พ.ศ.2567</t>
  </si>
  <si>
    <t>เนื่องจากเริ่มหาตัวผู้รับจ้างล่าช้า (กำหนดให้ดำเนินการ 7 กัยายน 2566 เพราะในช่วงเวลาดังกล่าวเร่งดำเนินการหาตัวผู้รับจ้างงบประมาณรายจ่ายเพิ่มเติม</t>
  </si>
  <si>
    <t>ประกอบกับการหาตัวผู้ขายเกือบทุกรายการ มีการวิจารณ์ในการกำหนดคุณลักษณะ (SPECT)</t>
  </si>
  <si>
    <t>3. การดำเนินงานไม่เป็นไปตามแผนการใช้จ่ายงบประมาณรายจ่ายประจำปีงบประมาณ พ.ศ. 2567 อาทิเช่น ค่าซ่อมแซมโรงเรียน ค่าจ้างเหมาทำความสะอาดท่อระบายน้ำ เป็นต้น</t>
  </si>
  <si>
    <t>รวม</t>
  </si>
  <si>
    <t xml:space="preserve"> - งบเงินอุดหนุน</t>
  </si>
  <si>
    <t xml:space="preserve"> - งบรายจ่ายอื่น</t>
  </si>
  <si>
    <t>1. ในช่วงปีงบประมาณ 2567 ของสำนักงานเขตบึงกุ่ม ขาดแคลนบุคลากรหลายอัตรา</t>
  </si>
  <si>
    <t>( วันที่ 1 เมษายน - 30 กันยายน 2567)</t>
  </si>
  <si>
    <t>ณ วันที่ 30 กันยายน 2567</t>
  </si>
  <si>
    <t>เมษายน - กันยายน 2567</t>
  </si>
  <si>
    <t>เมษายน 2567</t>
  </si>
  <si>
    <t>พฤษภาคม 2567</t>
  </si>
  <si>
    <t>กรกฎาคม 2567</t>
  </si>
  <si>
    <t>สิงหาคม 2567</t>
  </si>
  <si>
    <t>กันยายน 2567</t>
  </si>
  <si>
    <t>มิถุนายน 2567</t>
  </si>
  <si>
    <t>รวมไตรมาสที่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</si>
</sst>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(* #,##0.00_);_(* \(#,##0.00\);_(* &quot;-&quot;_);_(@_)"/>
    <numFmt numFmtId="189" formatCode="_-* #,##0_-;\-* #,##0_-;_-* &quot;-&quot;??_-;_-@_-"/>
  </numFmts>
  <fonts count="34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  <charset val="22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4"/>
      <name val="CordiaUPC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5"/>
      <color theme="0"/>
      <name val="TH SarabunPSK"/>
      <family val="2"/>
    </font>
    <font>
      <sz val="18"/>
      <color theme="1"/>
      <name val="TH Sarabun New"/>
      <family val="2"/>
    </font>
    <font>
      <b/>
      <sz val="18"/>
      <name val="TH Sarabun New"/>
      <family val="2"/>
    </font>
    <font>
      <b/>
      <sz val="18"/>
      <color theme="1"/>
      <name val="TH Sarabun New"/>
      <family val="2"/>
    </font>
    <font>
      <b/>
      <u/>
      <sz val="18"/>
      <color theme="1"/>
      <name val="TH Sarabun New"/>
      <family val="2"/>
    </font>
    <font>
      <sz val="18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u/>
      <sz val="18"/>
      <color theme="1"/>
      <name val="TH Sarabun New"/>
      <family val="2"/>
    </font>
    <font>
      <sz val="11"/>
      <name val="TH SarabunPSK"/>
      <family val="2"/>
    </font>
    <font>
      <sz val="8"/>
      <name val="Cordia New"/>
      <family val="2"/>
    </font>
    <font>
      <sz val="16"/>
      <name val="TH Sarabun New"/>
      <family val="2"/>
    </font>
    <font>
      <b/>
      <u/>
      <sz val="16"/>
      <name val="TH Sarabun New"/>
      <family val="2"/>
    </font>
    <font>
      <b/>
      <sz val="16"/>
      <color rgb="FF0000CC"/>
      <name val="TH Sarabun New"/>
      <family val="2"/>
    </font>
    <font>
      <b/>
      <sz val="16"/>
      <name val="TH Sarabun New"/>
      <family val="2"/>
    </font>
    <font>
      <u/>
      <sz val="16"/>
      <name val="TH Sarabun New"/>
      <family val="2"/>
    </font>
    <font>
      <b/>
      <sz val="15"/>
      <color theme="1"/>
      <name val="TH Sarabun New"/>
      <family val="2"/>
    </font>
    <font>
      <sz val="15"/>
      <color theme="1"/>
      <name val="TH Sarabun New"/>
      <family val="2"/>
    </font>
    <font>
      <sz val="15"/>
      <color theme="0"/>
      <name val="TH Sarabun New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4">
    <xf numFmtId="0" fontId="0" fillId="0" borderId="0"/>
    <xf numFmtId="43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0" fontId="5" fillId="0" borderId="0"/>
    <xf numFmtId="0" fontId="8" fillId="0" borderId="0"/>
    <xf numFmtId="187" fontId="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7" fillId="0" borderId="0"/>
    <xf numFmtId="0" fontId="1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224">
    <xf numFmtId="0" fontId="0" fillId="0" borderId="0" xfId="0"/>
    <xf numFmtId="0" fontId="13" fillId="0" borderId="0" xfId="8" applyFont="1"/>
    <xf numFmtId="43" fontId="13" fillId="0" borderId="0" xfId="8" applyNumberFormat="1" applyFont="1"/>
    <xf numFmtId="0" fontId="10" fillId="2" borderId="1" xfId="10" applyFont="1" applyFill="1" applyBorder="1" applyAlignment="1">
      <alignment horizontal="center" vertical="center"/>
    </xf>
    <xf numFmtId="49" fontId="10" fillId="2" borderId="18" xfId="9" applyNumberFormat="1" applyFont="1" applyFill="1" applyBorder="1" applyAlignment="1">
      <alignment horizontal="center" vertical="center"/>
    </xf>
    <xf numFmtId="187" fontId="10" fillId="2" borderId="18" xfId="9" applyFont="1" applyFill="1" applyBorder="1" applyAlignment="1">
      <alignment horizontal="center" vertical="center"/>
    </xf>
    <xf numFmtId="189" fontId="11" fillId="0" borderId="0" xfId="11" applyNumberFormat="1" applyFont="1" applyAlignment="1">
      <alignment vertical="center"/>
    </xf>
    <xf numFmtId="0" fontId="11" fillId="0" borderId="0" xfId="10" applyFont="1" applyAlignment="1">
      <alignment vertical="center"/>
    </xf>
    <xf numFmtId="0" fontId="11" fillId="0" borderId="4" xfId="10" applyFont="1" applyBorder="1" applyAlignment="1">
      <alignment vertical="center"/>
    </xf>
    <xf numFmtId="187" fontId="11" fillId="0" borderId="4" xfId="9" applyFont="1" applyBorder="1" applyAlignment="1">
      <alignment vertical="center"/>
    </xf>
    <xf numFmtId="187" fontId="11" fillId="3" borderId="4" xfId="9" applyFont="1" applyFill="1" applyBorder="1" applyAlignment="1">
      <alignment vertical="center"/>
    </xf>
    <xf numFmtId="0" fontId="11" fillId="0" borderId="8" xfId="10" applyFont="1" applyBorder="1" applyAlignment="1">
      <alignment vertical="center"/>
    </xf>
    <xf numFmtId="187" fontId="11" fillId="3" borderId="6" xfId="9" applyFont="1" applyFill="1" applyBorder="1" applyAlignment="1">
      <alignment horizontal="left" vertical="center"/>
    </xf>
    <xf numFmtId="0" fontId="11" fillId="0" borderId="6" xfId="10" applyFont="1" applyBorder="1" applyAlignment="1">
      <alignment horizontal="left" vertical="center"/>
    </xf>
    <xf numFmtId="0" fontId="11" fillId="0" borderId="6" xfId="10" applyFont="1" applyBorder="1" applyAlignment="1">
      <alignment vertical="center"/>
    </xf>
    <xf numFmtId="0" fontId="11" fillId="0" borderId="19" xfId="10" applyFont="1" applyBorder="1" applyAlignment="1">
      <alignment vertical="center"/>
    </xf>
    <xf numFmtId="0" fontId="10" fillId="0" borderId="18" xfId="10" applyFont="1" applyBorder="1" applyAlignment="1">
      <alignment horizontal="center" vertical="center"/>
    </xf>
    <xf numFmtId="187" fontId="10" fillId="0" borderId="18" xfId="9" applyFont="1" applyBorder="1" applyAlignment="1">
      <alignment horizontal="center" vertical="center"/>
    </xf>
    <xf numFmtId="187" fontId="10" fillId="3" borderId="18" xfId="9" applyFont="1" applyFill="1" applyBorder="1" applyAlignment="1">
      <alignment horizontal="center" vertical="center"/>
    </xf>
    <xf numFmtId="187" fontId="11" fillId="0" borderId="0" xfId="9" applyFont="1" applyAlignment="1">
      <alignment vertical="center"/>
    </xf>
    <xf numFmtId="187" fontId="4" fillId="0" borderId="0" xfId="9" applyFont="1"/>
    <xf numFmtId="187" fontId="13" fillId="0" borderId="0" xfId="8" applyNumberFormat="1" applyFont="1"/>
    <xf numFmtId="2" fontId="13" fillId="0" borderId="0" xfId="8" applyNumberFormat="1" applyFont="1"/>
    <xf numFmtId="0" fontId="14" fillId="0" borderId="0" xfId="8" applyFont="1"/>
    <xf numFmtId="187" fontId="11" fillId="0" borderId="8" xfId="9" applyFont="1" applyBorder="1" applyAlignment="1">
      <alignment horizontal="left" vertical="center"/>
    </xf>
    <xf numFmtId="187" fontId="11" fillId="0" borderId="53" xfId="9" applyFont="1" applyBorder="1" applyAlignment="1">
      <alignment horizontal="left" vertical="center"/>
    </xf>
    <xf numFmtId="187" fontId="10" fillId="3" borderId="6" xfId="9" applyFont="1" applyFill="1" applyBorder="1" applyAlignment="1">
      <alignment horizontal="left" vertical="center"/>
    </xf>
    <xf numFmtId="187" fontId="11" fillId="0" borderId="6" xfId="9" applyFont="1" applyFill="1" applyBorder="1" applyAlignment="1">
      <alignment horizontal="left" vertical="center"/>
    </xf>
    <xf numFmtId="187" fontId="11" fillId="0" borderId="6" xfId="9" applyFont="1" applyFill="1" applyBorder="1" applyAlignment="1">
      <alignment vertical="center"/>
    </xf>
    <xf numFmtId="187" fontId="11" fillId="0" borderId="0" xfId="9" applyFont="1" applyFill="1" applyAlignment="1">
      <alignment vertical="center"/>
    </xf>
    <xf numFmtId="187" fontId="10" fillId="0" borderId="6" xfId="9" applyFont="1" applyFill="1" applyBorder="1" applyAlignment="1">
      <alignment horizontal="left" vertical="center"/>
    </xf>
    <xf numFmtId="0" fontId="15" fillId="0" borderId="0" xfId="10" applyFont="1" applyAlignment="1">
      <alignment vertical="center"/>
    </xf>
    <xf numFmtId="187" fontId="15" fillId="0" borderId="0" xfId="9" applyFont="1" applyAlignment="1">
      <alignment vertical="center"/>
    </xf>
    <xf numFmtId="187" fontId="15" fillId="0" borderId="0" xfId="9" applyFont="1" applyFill="1" applyAlignment="1">
      <alignment vertical="center"/>
    </xf>
    <xf numFmtId="0" fontId="16" fillId="0" borderId="0" xfId="8" applyFont="1"/>
    <xf numFmtId="43" fontId="16" fillId="0" borderId="0" xfId="14" applyFont="1"/>
    <xf numFmtId="43" fontId="16" fillId="0" borderId="0" xfId="8" applyNumberFormat="1" applyFont="1" applyAlignment="1">
      <alignment vertical="center"/>
    </xf>
    <xf numFmtId="0" fontId="18" fillId="0" borderId="0" xfId="8" applyFont="1"/>
    <xf numFmtId="43" fontId="16" fillId="0" borderId="0" xfId="14" applyFont="1" applyAlignment="1">
      <alignment vertical="center"/>
    </xf>
    <xf numFmtId="0" fontId="16" fillId="0" borderId="0" xfId="8" applyFont="1" applyAlignment="1">
      <alignment vertical="center"/>
    </xf>
    <xf numFmtId="0" fontId="18" fillId="0" borderId="0" xfId="8" applyFont="1" applyAlignment="1">
      <alignment horizontal="center" vertical="center"/>
    </xf>
    <xf numFmtId="43" fontId="18" fillId="0" borderId="0" xfId="14" applyFont="1"/>
    <xf numFmtId="0" fontId="18" fillId="0" borderId="0" xfId="8" applyFont="1" applyAlignment="1">
      <alignment vertical="center"/>
    </xf>
    <xf numFmtId="43" fontId="18" fillId="0" borderId="0" xfId="14" applyFont="1" applyAlignment="1">
      <alignment vertical="center"/>
    </xf>
    <xf numFmtId="0" fontId="18" fillId="0" borderId="18" xfId="8" applyFont="1" applyBorder="1" applyAlignment="1">
      <alignment horizontal="center" vertical="center"/>
    </xf>
    <xf numFmtId="0" fontId="18" fillId="0" borderId="18" xfId="8" applyFont="1" applyBorder="1" applyAlignment="1">
      <alignment horizontal="center" vertical="center" shrinkToFit="1"/>
    </xf>
    <xf numFmtId="43" fontId="18" fillId="0" borderId="0" xfId="14" applyFont="1" applyAlignment="1">
      <alignment horizontal="center" vertical="center"/>
    </xf>
    <xf numFmtId="43" fontId="20" fillId="0" borderId="18" xfId="8" applyNumberFormat="1" applyFont="1" applyBorder="1" applyAlignment="1">
      <alignment vertical="center"/>
    </xf>
    <xf numFmtId="2" fontId="16" fillId="0" borderId="18" xfId="8" applyNumberFormat="1" applyFont="1" applyBorder="1" applyAlignment="1">
      <alignment horizontal="center" vertical="center"/>
    </xf>
    <xf numFmtId="43" fontId="16" fillId="0" borderId="18" xfId="8" applyNumberFormat="1" applyFont="1" applyBorder="1" applyAlignment="1">
      <alignment vertical="center"/>
    </xf>
    <xf numFmtId="43" fontId="16" fillId="0" borderId="18" xfId="8" applyNumberFormat="1" applyFont="1" applyBorder="1" applyAlignment="1">
      <alignment vertical="center" shrinkToFit="1"/>
    </xf>
    <xf numFmtId="43" fontId="18" fillId="0" borderId="0" xfId="14" applyFont="1" applyAlignment="1">
      <alignment horizontal="left" vertical="center"/>
    </xf>
    <xf numFmtId="0" fontId="16" fillId="0" borderId="0" xfId="8" applyFont="1" applyAlignment="1">
      <alignment horizontal="center"/>
    </xf>
    <xf numFmtId="43" fontId="16" fillId="0" borderId="0" xfId="8" applyNumberFormat="1" applyFont="1" applyAlignment="1">
      <alignment horizontal="center"/>
    </xf>
    <xf numFmtId="0" fontId="16" fillId="0" borderId="0" xfId="8" applyFont="1" applyAlignment="1">
      <alignment horizontal="center" shrinkToFit="1"/>
    </xf>
    <xf numFmtId="43" fontId="16" fillId="0" borderId="0" xfId="8" applyNumberFormat="1" applyFont="1"/>
    <xf numFmtId="0" fontId="16" fillId="0" borderId="0" xfId="8" applyFont="1" applyAlignment="1">
      <alignment shrinkToFit="1"/>
    </xf>
    <xf numFmtId="2" fontId="16" fillId="0" borderId="0" xfId="8" applyNumberFormat="1" applyFont="1" applyAlignment="1">
      <alignment horizontal="center" vertical="center"/>
    </xf>
    <xf numFmtId="43" fontId="16" fillId="0" borderId="0" xfId="8" applyNumberFormat="1" applyFont="1" applyAlignment="1">
      <alignment vertical="center" shrinkToFit="1"/>
    </xf>
    <xf numFmtId="0" fontId="16" fillId="0" borderId="0" xfId="8" applyFont="1" applyAlignment="1">
      <alignment vertical="top"/>
    </xf>
    <xf numFmtId="0" fontId="21" fillId="0" borderId="0" xfId="8" applyFont="1" applyAlignment="1">
      <alignment vertical="top"/>
    </xf>
    <xf numFmtId="0" fontId="16" fillId="0" borderId="0" xfId="8" applyFont="1" applyAlignment="1">
      <alignment vertical="top" shrinkToFit="1"/>
    </xf>
    <xf numFmtId="43" fontId="16" fillId="0" borderId="0" xfId="14" applyFont="1" applyAlignment="1">
      <alignment vertical="top"/>
    </xf>
    <xf numFmtId="0" fontId="22" fillId="0" borderId="0" xfId="8" applyFont="1" applyAlignment="1">
      <alignment vertical="top"/>
    </xf>
    <xf numFmtId="0" fontId="21" fillId="0" borderId="0" xfId="8" applyFont="1" applyAlignment="1">
      <alignment vertical="top" shrinkToFit="1"/>
    </xf>
    <xf numFmtId="43" fontId="21" fillId="0" borderId="0" xfId="14" applyFont="1" applyAlignment="1">
      <alignment vertical="top"/>
    </xf>
    <xf numFmtId="0" fontId="23" fillId="0" borderId="0" xfId="8" applyFont="1"/>
    <xf numFmtId="187" fontId="11" fillId="0" borderId="19" xfId="9" applyFont="1" applyFill="1" applyBorder="1" applyAlignment="1">
      <alignment horizontal="left" vertical="center"/>
    </xf>
    <xf numFmtId="187" fontId="11" fillId="3" borderId="19" xfId="9" applyFont="1" applyFill="1" applyBorder="1" applyAlignment="1">
      <alignment horizontal="left" vertical="center"/>
    </xf>
    <xf numFmtId="4" fontId="11" fillId="0" borderId="6" xfId="9" applyNumberFormat="1" applyFont="1" applyFill="1" applyBorder="1" applyAlignment="1">
      <alignment vertical="center"/>
    </xf>
    <xf numFmtId="43" fontId="11" fillId="0" borderId="6" xfId="1" applyFont="1" applyFill="1" applyBorder="1" applyAlignment="1">
      <alignment vertical="center"/>
    </xf>
    <xf numFmtId="187" fontId="24" fillId="0" borderId="0" xfId="8" applyNumberFormat="1" applyFont="1"/>
    <xf numFmtId="0" fontId="17" fillId="0" borderId="0" xfId="8" applyFont="1" applyAlignment="1">
      <alignment horizontal="center"/>
    </xf>
    <xf numFmtId="0" fontId="19" fillId="0" borderId="17" xfId="8" applyFont="1" applyBorder="1" applyAlignment="1">
      <alignment horizontal="center" vertical="center"/>
    </xf>
    <xf numFmtId="0" fontId="18" fillId="0" borderId="0" xfId="8" applyFont="1" applyAlignment="1">
      <alignment horizontal="center" vertical="center"/>
    </xf>
    <xf numFmtId="0" fontId="18" fillId="0" borderId="23" xfId="8" applyFont="1" applyBorder="1" applyAlignment="1">
      <alignment horizontal="center" vertical="center"/>
    </xf>
    <xf numFmtId="0" fontId="18" fillId="0" borderId="24" xfId="8" applyFont="1" applyBorder="1" applyAlignment="1">
      <alignment horizontal="center" vertical="center"/>
    </xf>
    <xf numFmtId="0" fontId="18" fillId="0" borderId="25" xfId="8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0" fillId="0" borderId="17" xfId="10" applyFont="1" applyBorder="1" applyAlignment="1">
      <alignment horizontal="center" vertical="center"/>
    </xf>
    <xf numFmtId="0" fontId="10" fillId="0" borderId="0" xfId="1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15" fontId="26" fillId="0" borderId="0" xfId="0" applyNumberFormat="1" applyFont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26" fillId="4" borderId="31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 vertical="center"/>
    </xf>
    <xf numFmtId="0" fontId="26" fillId="4" borderId="54" xfId="0" applyFont="1" applyFill="1" applyBorder="1" applyAlignment="1">
      <alignment horizontal="center"/>
    </xf>
    <xf numFmtId="0" fontId="26" fillId="7" borderId="29" xfId="0" applyFont="1" applyFill="1" applyBorder="1" applyAlignment="1">
      <alignment horizontal="center"/>
    </xf>
    <xf numFmtId="0" fontId="26" fillId="6" borderId="54" xfId="0" applyFont="1" applyFill="1" applyBorder="1" applyAlignment="1">
      <alignment horizontal="center" vertical="center"/>
    </xf>
    <xf numFmtId="0" fontId="26" fillId="7" borderId="29" xfId="0" applyFont="1" applyFill="1" applyBorder="1" applyAlignment="1">
      <alignment horizontal="center" vertical="center"/>
    </xf>
    <xf numFmtId="0" fontId="26" fillId="4" borderId="49" xfId="0" applyFont="1" applyFill="1" applyBorder="1" applyAlignment="1">
      <alignment horizontal="center"/>
    </xf>
    <xf numFmtId="0" fontId="26" fillId="4" borderId="50" xfId="0" applyFont="1" applyFill="1" applyBorder="1" applyAlignment="1">
      <alignment horizontal="center"/>
    </xf>
    <xf numFmtId="0" fontId="26" fillId="6" borderId="21" xfId="0" applyFont="1" applyFill="1" applyBorder="1" applyAlignment="1">
      <alignment horizontal="center" vertical="center"/>
    </xf>
    <xf numFmtId="0" fontId="26" fillId="4" borderId="21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16" xfId="0" applyFont="1" applyBorder="1" applyAlignment="1">
      <alignment horizontal="center" vertical="center"/>
    </xf>
    <xf numFmtId="0" fontId="26" fillId="4" borderId="33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 vertical="center"/>
    </xf>
    <xf numFmtId="0" fontId="26" fillId="4" borderId="34" xfId="0" applyFont="1" applyFill="1" applyBorder="1" applyAlignment="1">
      <alignment horizontal="center"/>
    </xf>
    <xf numFmtId="0" fontId="26" fillId="7" borderId="17" xfId="0" applyFont="1" applyFill="1" applyBorder="1" applyAlignment="1">
      <alignment horizontal="center"/>
    </xf>
    <xf numFmtId="0" fontId="26" fillId="6" borderId="34" xfId="0" applyFont="1" applyFill="1" applyBorder="1" applyAlignment="1">
      <alignment horizontal="center" vertical="center"/>
    </xf>
    <xf numFmtId="0" fontId="26" fillId="7" borderId="17" xfId="0" applyFont="1" applyFill="1" applyBorder="1" applyAlignment="1">
      <alignment horizontal="center" vertical="center"/>
    </xf>
    <xf numFmtId="0" fontId="26" fillId="4" borderId="51" xfId="0" applyFont="1" applyFill="1" applyBorder="1" applyAlignment="1">
      <alignment horizontal="center" vertical="center"/>
    </xf>
    <xf numFmtId="0" fontId="26" fillId="6" borderId="16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7" fillId="0" borderId="52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8" borderId="36" xfId="0" applyFont="1" applyFill="1" applyBorder="1" applyAlignment="1">
      <alignment horizontal="center"/>
    </xf>
    <xf numFmtId="0" fontId="26" fillId="5" borderId="30" xfId="0" applyFont="1" applyFill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7" borderId="30" xfId="0" applyFont="1" applyFill="1" applyBorder="1" applyAlignment="1">
      <alignment horizontal="center"/>
    </xf>
    <xf numFmtId="0" fontId="26" fillId="0" borderId="52" xfId="0" applyFont="1" applyBorder="1" applyAlignment="1">
      <alignment horizontal="center"/>
    </xf>
    <xf numFmtId="0" fontId="26" fillId="0" borderId="10" xfId="0" applyFont="1" applyBorder="1"/>
    <xf numFmtId="43" fontId="26" fillId="0" borderId="37" xfId="1" applyFont="1" applyFill="1" applyBorder="1"/>
    <xf numFmtId="43" fontId="26" fillId="0" borderId="5" xfId="1" applyFont="1" applyFill="1" applyBorder="1"/>
    <xf numFmtId="43" fontId="26" fillId="8" borderId="38" xfId="1" applyFont="1" applyFill="1" applyBorder="1"/>
    <xf numFmtId="43" fontId="26" fillId="5" borderId="14" xfId="1" applyFont="1" applyFill="1" applyBorder="1"/>
    <xf numFmtId="43" fontId="26" fillId="0" borderId="38" xfId="1" applyFont="1" applyFill="1" applyBorder="1"/>
    <xf numFmtId="43" fontId="26" fillId="7" borderId="14" xfId="1" applyFont="1" applyFill="1" applyBorder="1"/>
    <xf numFmtId="43" fontId="26" fillId="0" borderId="37" xfId="1" applyFont="1" applyBorder="1"/>
    <xf numFmtId="43" fontId="26" fillId="0" borderId="38" xfId="0" applyNumberFormat="1" applyFont="1" applyBorder="1"/>
    <xf numFmtId="43" fontId="26" fillId="7" borderId="14" xfId="0" applyNumberFormat="1" applyFont="1" applyFill="1" applyBorder="1"/>
    <xf numFmtId="43" fontId="26" fillId="0" borderId="10" xfId="0" applyNumberFormat="1" applyFont="1" applyBorder="1"/>
    <xf numFmtId="43" fontId="26" fillId="0" borderId="10" xfId="1" applyFont="1" applyBorder="1"/>
    <xf numFmtId="0" fontId="28" fillId="0" borderId="0" xfId="0" applyFont="1" applyAlignment="1">
      <alignment horizontal="center" vertical="center"/>
    </xf>
    <xf numFmtId="188" fontId="26" fillId="0" borderId="37" xfId="1" applyNumberFormat="1" applyFont="1" applyFill="1" applyBorder="1"/>
    <xf numFmtId="187" fontId="26" fillId="0" borderId="5" xfId="1" applyNumberFormat="1" applyFont="1" applyFill="1" applyBorder="1"/>
    <xf numFmtId="187" fontId="26" fillId="8" borderId="38" xfId="1" applyNumberFormat="1" applyFont="1" applyFill="1" applyBorder="1"/>
    <xf numFmtId="187" fontId="26" fillId="0" borderId="38" xfId="0" applyNumberFormat="1" applyFont="1" applyBorder="1"/>
    <xf numFmtId="187" fontId="26" fillId="0" borderId="10" xfId="0" applyNumberFormat="1" applyFont="1" applyBorder="1"/>
    <xf numFmtId="187" fontId="26" fillId="0" borderId="10" xfId="1" applyNumberFormat="1" applyFont="1" applyBorder="1"/>
    <xf numFmtId="43" fontId="26" fillId="0" borderId="0" xfId="1" applyFont="1" applyBorder="1"/>
    <xf numFmtId="188" fontId="26" fillId="0" borderId="39" xfId="1" applyNumberFormat="1" applyFont="1" applyFill="1" applyBorder="1"/>
    <xf numFmtId="187" fontId="26" fillId="0" borderId="26" xfId="1" applyNumberFormat="1" applyFont="1" applyFill="1" applyBorder="1"/>
    <xf numFmtId="187" fontId="26" fillId="8" borderId="40" xfId="1" applyNumberFormat="1" applyFont="1" applyFill="1" applyBorder="1"/>
    <xf numFmtId="187" fontId="26" fillId="0" borderId="40" xfId="0" applyNumberFormat="1" applyFont="1" applyBorder="1"/>
    <xf numFmtId="187" fontId="26" fillId="0" borderId="39" xfId="0" applyNumberFormat="1" applyFont="1" applyBorder="1" applyAlignment="1">
      <alignment horizontal="center"/>
    </xf>
    <xf numFmtId="187" fontId="26" fillId="0" borderId="12" xfId="0" applyNumberFormat="1" applyFont="1" applyBorder="1"/>
    <xf numFmtId="187" fontId="26" fillId="0" borderId="12" xfId="1" applyNumberFormat="1" applyFont="1" applyBorder="1"/>
    <xf numFmtId="43" fontId="26" fillId="0" borderId="55" xfId="1" applyFont="1" applyBorder="1"/>
    <xf numFmtId="187" fontId="26" fillId="0" borderId="0" xfId="0" applyNumberFormat="1" applyFont="1"/>
    <xf numFmtId="43" fontId="26" fillId="0" borderId="27" xfId="0" applyNumberFormat="1" applyFont="1" applyBorder="1"/>
    <xf numFmtId="43" fontId="26" fillId="0" borderId="56" xfId="1" applyFont="1" applyBorder="1"/>
    <xf numFmtId="0" fontId="27" fillId="0" borderId="10" xfId="0" applyFont="1" applyBorder="1" applyAlignment="1">
      <alignment horizontal="center"/>
    </xf>
    <xf numFmtId="43" fontId="26" fillId="0" borderId="43" xfId="0" applyNumberFormat="1" applyFont="1" applyBorder="1"/>
    <xf numFmtId="43" fontId="26" fillId="0" borderId="7" xfId="0" applyNumberFormat="1" applyFont="1" applyBorder="1"/>
    <xf numFmtId="43" fontId="26" fillId="8" borderId="44" xfId="0" applyNumberFormat="1" applyFont="1" applyFill="1" applyBorder="1"/>
    <xf numFmtId="43" fontId="26" fillId="0" borderId="44" xfId="0" applyNumberFormat="1" applyFont="1" applyBorder="1"/>
    <xf numFmtId="43" fontId="26" fillId="0" borderId="13" xfId="0" applyNumberFormat="1" applyFont="1" applyBorder="1"/>
    <xf numFmtId="43" fontId="26" fillId="0" borderId="13" xfId="1" applyFont="1" applyBorder="1"/>
    <xf numFmtId="43" fontId="26" fillId="0" borderId="37" xfId="0" applyNumberFormat="1" applyFont="1" applyBorder="1"/>
    <xf numFmtId="43" fontId="26" fillId="0" borderId="5" xfId="0" applyNumberFormat="1" applyFont="1" applyBorder="1"/>
    <xf numFmtId="43" fontId="26" fillId="8" borderId="38" xfId="0" applyNumberFormat="1" applyFont="1" applyFill="1" applyBorder="1"/>
    <xf numFmtId="43" fontId="26" fillId="0" borderId="14" xfId="1" applyFont="1" applyFill="1" applyBorder="1"/>
    <xf numFmtId="43" fontId="26" fillId="0" borderId="14" xfId="0" applyNumberFormat="1" applyFont="1" applyBorder="1"/>
    <xf numFmtId="43" fontId="26" fillId="0" borderId="0" xfId="0" applyNumberFormat="1" applyFont="1"/>
    <xf numFmtId="43" fontId="26" fillId="0" borderId="45" xfId="0" applyNumberFormat="1" applyFont="1" applyBorder="1"/>
    <xf numFmtId="43" fontId="26" fillId="0" borderId="28" xfId="0" applyNumberFormat="1" applyFont="1" applyBorder="1"/>
    <xf numFmtId="43" fontId="26" fillId="8" borderId="32" xfId="0" applyNumberFormat="1" applyFont="1" applyFill="1" applyBorder="1"/>
    <xf numFmtId="43" fontId="26" fillId="5" borderId="0" xfId="0" applyNumberFormat="1" applyFont="1" applyFill="1"/>
    <xf numFmtId="43" fontId="26" fillId="0" borderId="32" xfId="0" applyNumberFormat="1" applyFont="1" applyBorder="1"/>
    <xf numFmtId="43" fontId="26" fillId="7" borderId="0" xfId="0" applyNumberFormat="1" applyFont="1" applyFill="1"/>
    <xf numFmtId="43" fontId="26" fillId="0" borderId="34" xfId="0" applyNumberFormat="1" applyFont="1" applyBorder="1"/>
    <xf numFmtId="43" fontId="26" fillId="0" borderId="20" xfId="0" applyNumberFormat="1" applyFont="1" applyBorder="1"/>
    <xf numFmtId="43" fontId="26" fillId="0" borderId="0" xfId="1" applyFont="1"/>
    <xf numFmtId="43" fontId="26" fillId="0" borderId="41" xfId="0" applyNumberFormat="1" applyFont="1" applyBorder="1"/>
    <xf numFmtId="43" fontId="26" fillId="8" borderId="42" xfId="0" applyNumberFormat="1" applyFont="1" applyFill="1" applyBorder="1"/>
    <xf numFmtId="43" fontId="26" fillId="0" borderId="42" xfId="0" applyNumberFormat="1" applyFont="1" applyBorder="1"/>
    <xf numFmtId="43" fontId="26" fillId="0" borderId="22" xfId="0" applyNumberFormat="1" applyFont="1" applyBorder="1"/>
    <xf numFmtId="43" fontId="26" fillId="0" borderId="22" xfId="1" applyFont="1" applyBorder="1"/>
    <xf numFmtId="43" fontId="26" fillId="0" borderId="43" xfId="1" applyFont="1" applyFill="1" applyBorder="1"/>
    <xf numFmtId="43" fontId="26" fillId="0" borderId="7" xfId="1" applyFont="1" applyFill="1" applyBorder="1"/>
    <xf numFmtId="43" fontId="26" fillId="8" borderId="44" xfId="1" applyFont="1" applyFill="1" applyBorder="1"/>
    <xf numFmtId="43" fontId="26" fillId="5" borderId="15" xfId="1" applyFont="1" applyFill="1" applyBorder="1"/>
    <xf numFmtId="43" fontId="26" fillId="0" borderId="44" xfId="1" applyFont="1" applyFill="1" applyBorder="1"/>
    <xf numFmtId="43" fontId="26" fillId="0" borderId="43" xfId="1" applyFont="1" applyBorder="1"/>
    <xf numFmtId="43" fontId="26" fillId="0" borderId="44" xfId="1" applyFont="1" applyBorder="1"/>
    <xf numFmtId="0" fontId="26" fillId="0" borderId="11" xfId="0" applyFont="1" applyBorder="1"/>
    <xf numFmtId="43" fontId="26" fillId="0" borderId="46" xfId="1" applyFont="1" applyBorder="1"/>
    <xf numFmtId="43" fontId="26" fillId="0" borderId="47" xfId="1" applyFont="1" applyBorder="1"/>
    <xf numFmtId="43" fontId="26" fillId="8" borderId="48" xfId="1" applyFont="1" applyFill="1" applyBorder="1"/>
    <xf numFmtId="43" fontId="26" fillId="5" borderId="17" xfId="1" applyFont="1" applyFill="1" applyBorder="1"/>
    <xf numFmtId="43" fontId="26" fillId="0" borderId="48" xfId="0" applyNumberFormat="1" applyFont="1" applyBorder="1"/>
    <xf numFmtId="43" fontId="26" fillId="7" borderId="17" xfId="0" applyNumberFormat="1" applyFont="1" applyFill="1" applyBorder="1"/>
    <xf numFmtId="43" fontId="26" fillId="0" borderId="46" xfId="0" applyNumberFormat="1" applyFont="1" applyBorder="1"/>
    <xf numFmtId="43" fontId="26" fillId="0" borderId="9" xfId="0" applyNumberFormat="1" applyFont="1" applyBorder="1"/>
    <xf numFmtId="43" fontId="26" fillId="0" borderId="9" xfId="1" applyFont="1" applyBorder="1"/>
    <xf numFmtId="0" fontId="26" fillId="0" borderId="0" xfId="0" applyFont="1" applyAlignment="1">
      <alignment horizontal="left"/>
    </xf>
    <xf numFmtId="189" fontId="26" fillId="0" borderId="0" xfId="1" applyNumberFormat="1" applyFont="1" applyBorder="1"/>
    <xf numFmtId="189" fontId="29" fillId="0" borderId="0" xfId="1" applyNumberFormat="1" applyFont="1" applyBorder="1"/>
    <xf numFmtId="49" fontId="30" fillId="0" borderId="0" xfId="1" applyNumberFormat="1" applyFont="1" applyBorder="1" applyAlignment="1">
      <alignment horizontal="left"/>
    </xf>
    <xf numFmtId="0" fontId="26" fillId="0" borderId="0" xfId="23" applyFont="1"/>
    <xf numFmtId="0" fontId="31" fillId="0" borderId="0" xfId="10" applyFont="1" applyAlignment="1">
      <alignment horizontal="center" vertical="center"/>
    </xf>
    <xf numFmtId="189" fontId="32" fillId="0" borderId="0" xfId="11" applyNumberFormat="1" applyFont="1" applyAlignment="1">
      <alignment vertical="center"/>
    </xf>
    <xf numFmtId="0" fontId="32" fillId="0" borderId="0" xfId="10" applyFont="1" applyAlignment="1">
      <alignment vertical="center"/>
    </xf>
    <xf numFmtId="0" fontId="31" fillId="0" borderId="17" xfId="10" applyFont="1" applyBorder="1" applyAlignment="1">
      <alignment horizontal="center" vertical="center"/>
    </xf>
    <xf numFmtId="0" fontId="31" fillId="2" borderId="1" xfId="10" applyFont="1" applyFill="1" applyBorder="1" applyAlignment="1">
      <alignment horizontal="center" vertical="center"/>
    </xf>
    <xf numFmtId="49" fontId="31" fillId="2" borderId="18" xfId="9" applyNumberFormat="1" applyFont="1" applyFill="1" applyBorder="1" applyAlignment="1">
      <alignment horizontal="center" vertical="center"/>
    </xf>
    <xf numFmtId="187" fontId="31" fillId="2" borderId="18" xfId="9" applyFont="1" applyFill="1" applyBorder="1" applyAlignment="1">
      <alignment horizontal="center" vertical="center"/>
    </xf>
    <xf numFmtId="0" fontId="32" fillId="0" borderId="4" xfId="10" applyFont="1" applyBorder="1" applyAlignment="1">
      <alignment vertical="center"/>
    </xf>
    <xf numFmtId="187" fontId="32" fillId="0" borderId="4" xfId="9" applyFont="1" applyBorder="1" applyAlignment="1">
      <alignment vertical="center"/>
    </xf>
    <xf numFmtId="187" fontId="32" fillId="3" borderId="4" xfId="9" applyFont="1" applyFill="1" applyBorder="1" applyAlignment="1">
      <alignment vertical="center"/>
    </xf>
    <xf numFmtId="0" fontId="32" fillId="0" borderId="6" xfId="10" applyFont="1" applyBorder="1" applyAlignment="1">
      <alignment horizontal="left" vertical="center"/>
    </xf>
    <xf numFmtId="187" fontId="32" fillId="0" borderId="6" xfId="9" applyFont="1" applyFill="1" applyBorder="1" applyAlignment="1">
      <alignment horizontal="left" vertical="center"/>
    </xf>
    <xf numFmtId="187" fontId="32" fillId="3" borderId="6" xfId="9" applyFont="1" applyFill="1" applyBorder="1" applyAlignment="1">
      <alignment horizontal="left" vertical="center"/>
    </xf>
    <xf numFmtId="187" fontId="32" fillId="0" borderId="6" xfId="9" applyFont="1" applyFill="1" applyBorder="1" applyAlignment="1">
      <alignment vertical="center"/>
    </xf>
    <xf numFmtId="0" fontId="32" fillId="0" borderId="6" xfId="10" applyFont="1" applyBorder="1" applyAlignment="1">
      <alignment vertical="center"/>
    </xf>
    <xf numFmtId="0" fontId="32" fillId="0" borderId="19" xfId="10" applyFont="1" applyBorder="1" applyAlignment="1">
      <alignment vertical="center"/>
    </xf>
    <xf numFmtId="187" fontId="32" fillId="3" borderId="19" xfId="9" applyFont="1" applyFill="1" applyBorder="1" applyAlignment="1">
      <alignment horizontal="left" vertical="center"/>
    </xf>
    <xf numFmtId="0" fontId="31" fillId="0" borderId="18" xfId="10" applyFont="1" applyBorder="1" applyAlignment="1">
      <alignment horizontal="center" vertical="center"/>
    </xf>
    <xf numFmtId="187" fontId="32" fillId="0" borderId="53" xfId="9" applyFont="1" applyBorder="1" applyAlignment="1">
      <alignment horizontal="left" vertical="center"/>
    </xf>
    <xf numFmtId="0" fontId="32" fillId="0" borderId="8" xfId="10" applyFont="1" applyBorder="1" applyAlignment="1">
      <alignment vertical="center"/>
    </xf>
    <xf numFmtId="187" fontId="32" fillId="0" borderId="8" xfId="9" applyFont="1" applyBorder="1" applyAlignment="1">
      <alignment horizontal="left" vertical="center"/>
    </xf>
    <xf numFmtId="187" fontId="31" fillId="0" borderId="18" xfId="9" applyFont="1" applyBorder="1" applyAlignment="1">
      <alignment horizontal="center" vertical="center"/>
    </xf>
    <xf numFmtId="187" fontId="31" fillId="3" borderId="18" xfId="9" applyFont="1" applyFill="1" applyBorder="1" applyAlignment="1">
      <alignment horizontal="center" vertical="center"/>
    </xf>
    <xf numFmtId="187" fontId="31" fillId="0" borderId="6" xfId="9" applyFont="1" applyFill="1" applyBorder="1" applyAlignment="1">
      <alignment horizontal="left" vertical="center"/>
    </xf>
    <xf numFmtId="187" fontId="32" fillId="0" borderId="0" xfId="9" applyFont="1" applyAlignment="1">
      <alignment vertical="center"/>
    </xf>
    <xf numFmtId="187" fontId="31" fillId="3" borderId="6" xfId="9" applyFont="1" applyFill="1" applyBorder="1" applyAlignment="1">
      <alignment horizontal="left" vertical="center"/>
    </xf>
    <xf numFmtId="187" fontId="32" fillId="0" borderId="19" xfId="9" applyFont="1" applyFill="1" applyBorder="1" applyAlignment="1">
      <alignment horizontal="left" vertical="center"/>
    </xf>
    <xf numFmtId="187" fontId="32" fillId="0" borderId="0" xfId="9" applyFont="1" applyFill="1" applyAlignment="1">
      <alignment vertical="center"/>
    </xf>
    <xf numFmtId="187" fontId="33" fillId="0" borderId="0" xfId="9" applyFont="1" applyFill="1" applyAlignment="1">
      <alignment vertical="center"/>
    </xf>
    <xf numFmtId="43" fontId="32" fillId="0" borderId="6" xfId="1" applyFont="1" applyFill="1" applyBorder="1" applyAlignment="1">
      <alignment vertical="center"/>
    </xf>
  </cellXfs>
  <cellStyles count="24">
    <cellStyle name="Normal 11" xfId="5" xr:uid="{819B8003-E05E-427D-89F7-121A92E2C115}"/>
    <cellStyle name="Normal 11 2" xfId="18" xr:uid="{1AC3A23F-A3CB-482E-B7BD-1DAF07ED8D74}"/>
    <cellStyle name="Normal 5" xfId="13" xr:uid="{79053654-6D4F-4AB6-AF89-FD781AD56A5B}"/>
    <cellStyle name="Normal 8" xfId="7" xr:uid="{93FB7F07-1984-4249-B5CA-D28AD7D8B9F9}"/>
    <cellStyle name="เครื่องหมายจุลภาค 10" xfId="14" xr:uid="{FEF7EF4A-86C8-49E7-938E-E2D21D96267B}"/>
    <cellStyle name="เครื่องหมายจุลภาค 10 2" xfId="22" xr:uid="{A52A68D2-BB03-494E-907D-34EE142BEA9A}"/>
    <cellStyle name="เครื่องหมายจุลภาค 2" xfId="6" xr:uid="{900A5E01-4B5A-4346-BE02-51E2920ED61D}"/>
    <cellStyle name="เครื่องหมายจุลภาค 2 2" xfId="19" xr:uid="{4B451008-F7C6-4F96-8C3E-7B4895E836B9}"/>
    <cellStyle name="เครื่องหมายจุลภาค 3" xfId="11" xr:uid="{1663E21D-814C-4B20-8FA0-57FFF891579A}"/>
    <cellStyle name="เครื่องหมายจุลภาค 3 2" xfId="21" xr:uid="{DB68213E-4FA3-4378-A4BD-712153C509B2}"/>
    <cellStyle name="จุลภาค" xfId="1" builtinId="3"/>
    <cellStyle name="จุลภาค 2" xfId="3" xr:uid="{7448B0BC-6B9F-4B07-A22B-8FA8E218009E}"/>
    <cellStyle name="จุลภาค 2 2" xfId="16" xr:uid="{B3630E52-87EE-4ED6-B04D-7366B0CD12C9}"/>
    <cellStyle name="จุลภาค 3" xfId="9" xr:uid="{98B33A01-A390-4164-834B-B07A46C2E95B}"/>
    <cellStyle name="จุลภาค 3 2" xfId="20" xr:uid="{CFD4F3F0-95D8-4CD0-A45C-7AC04A24828A}"/>
    <cellStyle name="จุลภาค 4" xfId="15" xr:uid="{08B6C690-43A6-47B0-B0E5-D85222DAE4CB}"/>
    <cellStyle name="ปกติ" xfId="0" builtinId="0"/>
    <cellStyle name="ปกติ 2" xfId="2" xr:uid="{FE8BA2A0-25C3-413D-8BA2-97AC5B397DE1}"/>
    <cellStyle name="ปกติ 2 2" xfId="4" xr:uid="{47278F4D-83AA-482D-853B-77A84890B1A9}"/>
    <cellStyle name="ปกติ 2 2 2" xfId="17" xr:uid="{DA533BCA-ED97-4069-96E0-ECC29FC671CF}"/>
    <cellStyle name="ปกติ 2 3" xfId="12" xr:uid="{41A36C05-56C4-4AFA-A12F-7A7AB7C4C355}"/>
    <cellStyle name="ปกติ 3" xfId="8" xr:uid="{B347DC2F-83E4-4405-8771-029E874DF84E}"/>
    <cellStyle name="ปกติ 3 2" xfId="10" xr:uid="{41962D2F-640F-4A6B-9001-9910F363E8AE}"/>
    <cellStyle name="ปกติ 5 2" xfId="23" xr:uid="{6FE74718-4907-4908-AAFA-5FFA4F85BF8A}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34515483170076"/>
          <c:y val="0.20672857275090586"/>
          <c:w val="0.47032046560309537"/>
          <c:h val="0.7737165228447163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87-4275-B595-EBFCE73806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87-4275-B595-EBFCE73806E3}"/>
              </c:ext>
            </c:extLst>
          </c:dPt>
          <c:cat>
            <c:strRef>
              <c:f>'2.กราฟ'!$P$14:$Q$14</c:f>
              <c:strCache>
                <c:ptCount val="2"/>
                <c:pt idx="0">
                  <c:v>การเบิกจ่าย</c:v>
                </c:pt>
                <c:pt idx="1">
                  <c:v>งบประมาณคงเหลือ</c:v>
                </c:pt>
              </c:strCache>
            </c:strRef>
          </c:cat>
          <c:val>
            <c:numRef>
              <c:f>'2.กราฟ'!$P$15:$Q$15</c:f>
              <c:numCache>
                <c:formatCode>0.00</c:formatCode>
                <c:ptCount val="2"/>
                <c:pt idx="0">
                  <c:v>82.435728172851753</c:v>
                </c:pt>
                <c:pt idx="1">
                  <c:v>17.564271827148247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87-4275-B595-EBFCE7380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470332897995461"/>
          <c:y val="0.52223890734037393"/>
          <c:w val="0.19189805506933794"/>
          <c:h val="0.17544381833787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91688538932634"/>
          <c:y val="0.11154962772510579"/>
          <c:w val="0.53605511811023621"/>
          <c:h val="0.58346135304515512"/>
        </c:manualLayout>
      </c:layout>
      <c:pieChart>
        <c:varyColors val="1"/>
        <c:ser>
          <c:idx val="0"/>
          <c:order val="0"/>
          <c:spPr>
            <a:solidFill>
              <a:srgbClr val="0070C0"/>
            </a:solidFill>
          </c:spPr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1A3-462D-9564-3FC0EFBDBCE1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1A3-462D-9564-3FC0EFBDBCE1}"/>
              </c:ext>
            </c:extLst>
          </c:dPt>
          <c:cat>
            <c:strRef>
              <c:f>'2.กราฟ'!$R$35:$S$35</c:f>
              <c:strCache>
                <c:ptCount val="2"/>
                <c:pt idx="0">
                  <c:v>การเบิกจ่าย</c:v>
                </c:pt>
                <c:pt idx="1">
                  <c:v>งบประมาณคงเหลือ</c:v>
                </c:pt>
              </c:strCache>
            </c:strRef>
          </c:cat>
          <c:val>
            <c:numRef>
              <c:f>'2.กราฟ'!$R$36:$S$36</c:f>
              <c:numCache>
                <c:formatCode>0.00</c:formatCode>
                <c:ptCount val="2"/>
                <c:pt idx="0">
                  <c:v>72.955421600039756</c:v>
                </c:pt>
                <c:pt idx="1">
                  <c:v>27.044578399960244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A3-462D-9564-3FC0EFBDB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180362366598445"/>
          <c:y val="0.43801929520714672"/>
          <c:w val="0.32012256177228948"/>
          <c:h val="0.15915899927883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39487736446747E-2"/>
          <c:y val="0.19665168137716088"/>
          <c:w val="0.60256099931952956"/>
          <c:h val="0.5916054859473839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EF-436F-8B17-C8FAE21CD6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EF-436F-8B17-C8FAE21CD6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EF-436F-8B17-C8FAE21CD6F6}"/>
              </c:ext>
            </c:extLst>
          </c:dPt>
          <c:cat>
            <c:strRef>
              <c:f>'2.กราฟ'!$R$39:$T$39</c:f>
              <c:strCache>
                <c:ptCount val="3"/>
                <c:pt idx="0">
                  <c:v>ก่อหนี้ผูกพัน</c:v>
                </c:pt>
                <c:pt idx="1">
                  <c:v>ยังไม่ก่อหนี้ผูกพัน</c:v>
                </c:pt>
                <c:pt idx="2">
                  <c:v>คงเหลือหลังก่อหนี้</c:v>
                </c:pt>
              </c:strCache>
            </c:strRef>
          </c:cat>
          <c:val>
            <c:numRef>
              <c:f>'2.กราฟ'!$R$40:$T$40</c:f>
              <c:numCache>
                <c:formatCode>General</c:formatCode>
                <c:ptCount val="3"/>
                <c:pt idx="0" formatCode="0.00">
                  <c:v>100</c:v>
                </c:pt>
                <c:pt idx="1">
                  <c:v>0</c:v>
                </c:pt>
                <c:pt idx="2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EF-436F-8B17-C8FAE21C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339427215148324"/>
          <c:y val="0.37916607739672875"/>
          <c:w val="0.37439928153802871"/>
          <c:h val="0.175379187635215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5" r="0.5" t="0.75" header="0.3" footer="0.3"/>
    <c:pageSetup paperSize="9" orientation="landscape" horizontalDpi="300" verticalDpi="3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63501</xdr:rowOff>
    </xdr:from>
    <xdr:to>
      <xdr:col>13</xdr:col>
      <xdr:colOff>592665</xdr:colOff>
      <xdr:row>28</xdr:row>
      <xdr:rowOff>148167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A033EC9E-EE67-4D01-84C1-85E2A4AD4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625928</xdr:colOff>
      <xdr:row>34</xdr:row>
      <xdr:rowOff>262467</xdr:rowOff>
    </xdr:from>
    <xdr:to>
      <xdr:col>13</xdr:col>
      <xdr:colOff>637268</xdr:colOff>
      <xdr:row>57</xdr:row>
      <xdr:rowOff>190500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71DD0856-E558-444B-9BB5-99C754A3F5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333376</xdr:rowOff>
    </xdr:from>
    <xdr:to>
      <xdr:col>6</xdr:col>
      <xdr:colOff>625928</xdr:colOff>
      <xdr:row>57</xdr:row>
      <xdr:rowOff>190500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BEB422D4-55F1-44CB-AA2D-F2F7C69E3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431498</xdr:colOff>
      <xdr:row>35</xdr:row>
      <xdr:rowOff>99181</xdr:rowOff>
    </xdr:from>
    <xdr:to>
      <xdr:col>10</xdr:col>
      <xdr:colOff>368903</xdr:colOff>
      <xdr:row>37</xdr:row>
      <xdr:rowOff>84667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39D178C6-D2D2-46AC-B0FC-1D1DBAA9023E}"/>
            </a:ext>
          </a:extLst>
        </xdr:cNvPr>
        <xdr:cNvSpPr txBox="1"/>
      </xdr:nvSpPr>
      <xdr:spPr>
        <a:xfrm>
          <a:off x="5934831" y="7274681"/>
          <a:ext cx="1313239" cy="36648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ผลการเบิกจ่าย</a:t>
          </a:r>
        </a:p>
      </xdr:txBody>
    </xdr:sp>
    <xdr:clientData/>
  </xdr:twoCellAnchor>
  <xdr:twoCellAnchor>
    <xdr:from>
      <xdr:col>2</xdr:col>
      <xdr:colOff>634999</xdr:colOff>
      <xdr:row>35</xdr:row>
      <xdr:rowOff>134710</xdr:rowOff>
    </xdr:from>
    <xdr:to>
      <xdr:col>4</xdr:col>
      <xdr:colOff>370416</xdr:colOff>
      <xdr:row>37</xdr:row>
      <xdr:rowOff>29935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A4E29713-1217-4FC2-BD90-70FAEF3790BE}"/>
            </a:ext>
          </a:extLst>
        </xdr:cNvPr>
        <xdr:cNvSpPr txBox="1"/>
      </xdr:nvSpPr>
      <xdr:spPr>
        <a:xfrm>
          <a:off x="2010832" y="7955793"/>
          <a:ext cx="1111251" cy="3397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ผลการก่อหนี้</a:t>
          </a:r>
        </a:p>
      </xdr:txBody>
    </xdr:sp>
    <xdr:clientData/>
  </xdr:twoCellAnchor>
  <xdr:twoCellAnchor>
    <xdr:from>
      <xdr:col>10</xdr:col>
      <xdr:colOff>546702</xdr:colOff>
      <xdr:row>35</xdr:row>
      <xdr:rowOff>99783</xdr:rowOff>
    </xdr:from>
    <xdr:to>
      <xdr:col>12</xdr:col>
      <xdr:colOff>592666</xdr:colOff>
      <xdr:row>38</xdr:row>
      <xdr:rowOff>179914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6ACAD382-1F7B-47EE-961C-520215376CBE}"/>
            </a:ext>
          </a:extLst>
        </xdr:cNvPr>
        <xdr:cNvSpPr txBox="1"/>
      </xdr:nvSpPr>
      <xdr:spPr>
        <a:xfrm>
          <a:off x="7425869" y="7275283"/>
          <a:ext cx="1421797" cy="65163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28,300,849.64</a:t>
          </a:r>
        </a:p>
        <a:p>
          <a:pPr algn="ctr"/>
          <a:r>
            <a:rPr lang="th-TH" sz="1800" b="1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</a:t>
          </a:r>
          <a:r>
            <a:rPr lang="en-US" sz="1800" b="1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27.04</a:t>
          </a:r>
          <a:r>
            <a:rPr lang="th-TH" sz="1800" b="1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6</xdr:col>
      <xdr:colOff>662366</xdr:colOff>
      <xdr:row>49</xdr:row>
      <xdr:rowOff>22073</xdr:rowOff>
    </xdr:from>
    <xdr:to>
      <xdr:col>8</xdr:col>
      <xdr:colOff>656167</xdr:colOff>
      <xdr:row>52</xdr:row>
      <xdr:rowOff>158750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8DDF1DFC-CECD-4FBB-B92E-7391C1B1D79D}"/>
            </a:ext>
          </a:extLst>
        </xdr:cNvPr>
        <xdr:cNvSpPr txBox="1"/>
      </xdr:nvSpPr>
      <xdr:spPr>
        <a:xfrm>
          <a:off x="4789866" y="10213823"/>
          <a:ext cx="1369634" cy="70817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76,344,337.36 (72.96)</a:t>
          </a:r>
        </a:p>
      </xdr:txBody>
    </xdr:sp>
    <xdr:clientData/>
  </xdr:twoCellAnchor>
  <xdr:twoCellAnchor>
    <xdr:from>
      <xdr:col>9</xdr:col>
      <xdr:colOff>257175</xdr:colOff>
      <xdr:row>36</xdr:row>
      <xdr:rowOff>173567</xdr:rowOff>
    </xdr:from>
    <xdr:to>
      <xdr:col>10</xdr:col>
      <xdr:colOff>531283</xdr:colOff>
      <xdr:row>39</xdr:row>
      <xdr:rowOff>76200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16334C97-8BC3-4891-8C6C-D121A3346F0A}"/>
            </a:ext>
          </a:extLst>
        </xdr:cNvPr>
        <xdr:cNvCxnSpPr/>
      </xdr:nvCxnSpPr>
      <xdr:spPr>
        <a:xfrm flipH="1">
          <a:off x="6429375" y="8574617"/>
          <a:ext cx="959908" cy="55985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45433</xdr:colOff>
      <xdr:row>46</xdr:row>
      <xdr:rowOff>111127</xdr:rowOff>
    </xdr:from>
    <xdr:to>
      <xdr:col>8</xdr:col>
      <xdr:colOff>330200</xdr:colOff>
      <xdr:row>49</xdr:row>
      <xdr:rowOff>11491</xdr:rowOff>
    </xdr:to>
    <xdr:cxnSp macro="">
      <xdr:nvCxnSpPr>
        <xdr:cNvPr id="10" name="ลูกศรเชื่อมต่อแบบตรง 9">
          <a:extLst>
            <a:ext uri="{FF2B5EF4-FFF2-40B4-BE49-F238E27FC236}">
              <a16:creationId xmlns:a16="http://schemas.microsoft.com/office/drawing/2014/main" id="{D998FD6B-023D-4BCC-90D0-2F1D64AF8C9C}"/>
            </a:ext>
          </a:extLst>
        </xdr:cNvPr>
        <xdr:cNvCxnSpPr/>
      </xdr:nvCxnSpPr>
      <xdr:spPr>
        <a:xfrm flipV="1">
          <a:off x="5548766" y="9731377"/>
          <a:ext cx="284767" cy="47186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95250</xdr:colOff>
      <xdr:row>50</xdr:row>
      <xdr:rowOff>123825</xdr:rowOff>
    </xdr:from>
    <xdr:ext cx="184731" cy="262572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587EC8F7-2F1A-49D6-B822-322B7E0F33CF}"/>
            </a:ext>
          </a:extLst>
        </xdr:cNvPr>
        <xdr:cNvSpPr txBox="1"/>
      </xdr:nvSpPr>
      <xdr:spPr>
        <a:xfrm>
          <a:off x="10382250" y="10096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0</xdr:col>
      <xdr:colOff>476250</xdr:colOff>
      <xdr:row>48</xdr:row>
      <xdr:rowOff>169333</xdr:rowOff>
    </xdr:from>
    <xdr:to>
      <xdr:col>1</xdr:col>
      <xdr:colOff>444500</xdr:colOff>
      <xdr:row>52</xdr:row>
      <xdr:rowOff>105834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4625D385-F1DB-4652-A4A2-6F7CA87258C1}"/>
            </a:ext>
          </a:extLst>
        </xdr:cNvPr>
        <xdr:cNvCxnSpPr/>
      </xdr:nvCxnSpPr>
      <xdr:spPr>
        <a:xfrm flipV="1">
          <a:off x="476250" y="10170583"/>
          <a:ext cx="656167" cy="69850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0.20049</cdr:x>
      <cdr:y>0.0363</cdr:y>
    </cdr:from>
    <cdr:to>
      <cdr:x>0.81109</cdr:x>
      <cdr:y>0.19967</cdr:y>
    </cdr:to>
    <cdr:sp macro="" textlink="">
      <cdr:nvSpPr>
        <cdr:cNvPr id="4" name="กล่องข้อความ 3"/>
        <cdr:cNvSpPr txBox="1"/>
      </cdr:nvSpPr>
      <cdr:spPr>
        <a:xfrm xmlns:a="http://schemas.openxmlformats.org/drawingml/2006/main">
          <a:off x="1887008" y="232833"/>
          <a:ext cx="5746750" cy="1047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ผลการเบิกจ่ายภาพรวม                                      </a:t>
          </a:r>
          <a:endParaRPr lang="th-TH" sz="18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 xmlns:a="http://schemas.openxmlformats.org/drawingml/2006/main">
          <a:pPr algn="ctr"/>
          <a:r>
            <a:rPr lang="th-TH" sz="1800" b="1" i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ผลการใช้จ่ายงบประมาณประจำปีงบประมาณ พ.ศ.</a:t>
          </a:r>
          <a:r>
            <a:rPr lang="th-TH" sz="1800" b="1" i="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800" b="1" i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2567</a:t>
          </a:r>
          <a:endParaRPr lang="th-TH" sz="18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 xmlns:a="http://schemas.openxmlformats.org/drawingml/2006/main">
          <a:pPr algn="ctr"/>
          <a:r>
            <a:rPr lang="th-TH" sz="1800" b="1" i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 วันที่</a:t>
          </a:r>
          <a:r>
            <a:rPr lang="th-TH" sz="1800" b="1" i="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en-US" sz="1800" b="1" i="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800" b="1" i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เมษายน</a:t>
          </a:r>
          <a:r>
            <a:rPr lang="th-TH" sz="1800" b="1" i="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800" b="1" i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- 30 กันยายน 2567)</a:t>
          </a:r>
          <a:endParaRPr lang="th-TH" sz="18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cdr:txBody>
    </cdr:sp>
  </cdr:relSizeAnchor>
  <cdr:relSizeAnchor xmlns:cdr="http://schemas.openxmlformats.org/drawingml/2006/chartDrawing">
    <cdr:from>
      <cdr:x>0.56442</cdr:x>
      <cdr:y>0.78</cdr:y>
    </cdr:from>
    <cdr:to>
      <cdr:x>0.98515</cdr:x>
      <cdr:y>0.92833</cdr:y>
    </cdr:to>
    <cdr:sp macro="" textlink="">
      <cdr:nvSpPr>
        <cdr:cNvPr id="5" name="กล่องข้อความ 4"/>
        <cdr:cNvSpPr txBox="1"/>
      </cdr:nvSpPr>
      <cdr:spPr>
        <a:xfrm xmlns:a="http://schemas.openxmlformats.org/drawingml/2006/main">
          <a:off x="5191009" y="5133431"/>
          <a:ext cx="3869469" cy="976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งบประมาณหลังปรับโอน	</a:t>
          </a:r>
          <a:r>
            <a:rPr lang="en-US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435,541,780.00</a:t>
          </a:r>
          <a:r>
            <a:rPr lang="th-TH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บาท </a:t>
          </a:r>
          <a:r>
            <a:rPr lang="en-US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              </a:t>
          </a:r>
          <a:r>
            <a:rPr lang="en-US" sz="16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</a:t>
          </a:r>
          <a:r>
            <a:rPr lang="th-TH" sz="16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การเบิกจ่าย	   	</a:t>
          </a:r>
          <a:r>
            <a:rPr lang="en-US" sz="16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359,042,037.84</a:t>
          </a:r>
          <a:r>
            <a:rPr lang="th-TH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บาท</a:t>
          </a:r>
          <a:r>
            <a:rPr lang="en-US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                                                 </a:t>
          </a:r>
          <a:r>
            <a:rPr lang="th-TH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งบประมาณคงเหลือ	</a:t>
          </a:r>
          <a:r>
            <a:rPr lang="en-US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76,499,742.16</a:t>
          </a:r>
          <a:r>
            <a:rPr lang="th-TH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บาท</a:t>
          </a:r>
          <a:endParaRPr lang="th-TH" sz="1600" b="1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cdr:txBody>
    </cdr:sp>
  </cdr:relSizeAnchor>
  <cdr:relSizeAnchor xmlns:cdr="http://schemas.openxmlformats.org/drawingml/2006/chartDrawing">
    <cdr:from>
      <cdr:x>0.61003</cdr:x>
      <cdr:y>0.38134</cdr:y>
    </cdr:from>
    <cdr:to>
      <cdr:x>0.7754</cdr:x>
      <cdr:y>0.50192</cdr:y>
    </cdr:to>
    <cdr:sp macro="" textlink="">
      <cdr:nvSpPr>
        <cdr:cNvPr id="6" name="กล่องข้อความ 5"/>
        <cdr:cNvSpPr txBox="1"/>
      </cdr:nvSpPr>
      <cdr:spPr>
        <a:xfrm xmlns:a="http://schemas.openxmlformats.org/drawingml/2006/main">
          <a:off x="5741454" y="2106712"/>
          <a:ext cx="1556422" cy="66612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359,042,037.84</a:t>
          </a:r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 (</a:t>
          </a:r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82.44</a:t>
          </a:r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cdr:txBody>
    </cdr:sp>
  </cdr:relSizeAnchor>
  <cdr:relSizeAnchor xmlns:cdr="http://schemas.openxmlformats.org/drawingml/2006/chartDrawing">
    <cdr:from>
      <cdr:x>0.03186</cdr:x>
      <cdr:y>0.20408</cdr:y>
    </cdr:from>
    <cdr:to>
      <cdr:x>0.17212</cdr:x>
      <cdr:y>0.31418</cdr:y>
    </cdr:to>
    <cdr:sp macro="" textlink="">
      <cdr:nvSpPr>
        <cdr:cNvPr id="7" name="กล่องข้อความ 1"/>
        <cdr:cNvSpPr txBox="1"/>
      </cdr:nvSpPr>
      <cdr:spPr>
        <a:xfrm xmlns:a="http://schemas.openxmlformats.org/drawingml/2006/main">
          <a:off x="299859" y="1127440"/>
          <a:ext cx="1320093" cy="60822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b="1">
              <a:latin typeface="TH SarabunPSK" panose="020B0500040200020003" pitchFamily="34" charset="-34"/>
              <a:cs typeface="TH SarabunPSK" panose="020B0500040200020003" pitchFamily="34" charset="-34"/>
            </a:rPr>
            <a:t>76,499,742.16</a:t>
          </a:r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(</a:t>
          </a:r>
          <a:r>
            <a:rPr lang="en-US" sz="1800" b="1">
              <a:latin typeface="TH SarabunPSK" panose="020B0500040200020003" pitchFamily="34" charset="-34"/>
              <a:cs typeface="TH SarabunPSK" panose="020B0500040200020003" pitchFamily="34" charset="-34"/>
            </a:rPr>
            <a:t>17.56</a:t>
          </a:r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cdr:txBody>
    </cdr:sp>
  </cdr:relSizeAnchor>
  <cdr:relSizeAnchor xmlns:cdr="http://schemas.openxmlformats.org/drawingml/2006/chartDrawing">
    <cdr:from>
      <cdr:x>0.1454</cdr:x>
      <cdr:y>0.31609</cdr:y>
    </cdr:from>
    <cdr:to>
      <cdr:x>0.19583</cdr:x>
      <cdr:y>0.34175</cdr:y>
    </cdr:to>
    <cdr:cxnSp macro="">
      <cdr:nvCxnSpPr>
        <cdr:cNvPr id="9" name="ลูกศรเชื่อมต่อแบบตรง 8">
          <a:extLst xmlns:a="http://schemas.openxmlformats.org/drawingml/2006/main">
            <a:ext uri="{FF2B5EF4-FFF2-40B4-BE49-F238E27FC236}">
              <a16:creationId xmlns:a16="http://schemas.microsoft.com/office/drawing/2014/main" id="{EC17348A-87B6-FAB3-B204-C7822087E944}"/>
            </a:ext>
          </a:extLst>
        </cdr:cNvPr>
        <cdr:cNvCxnSpPr/>
      </cdr:nvCxnSpPr>
      <cdr:spPr>
        <a:xfrm xmlns:a="http://schemas.openxmlformats.org/drawingml/2006/main">
          <a:off x="1368425" y="1746249"/>
          <a:ext cx="474679" cy="14174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0.53925</cdr:x>
      <cdr:y>0.44163</cdr:y>
    </cdr:from>
    <cdr:to>
      <cdr:x>0.61003</cdr:x>
      <cdr:y>0.46774</cdr:y>
    </cdr:to>
    <cdr:cxnSp macro="">
      <cdr:nvCxnSpPr>
        <cdr:cNvPr id="11" name="ลูกศรเชื่อมต่อแบบตรง 10">
          <a:extLst xmlns:a="http://schemas.openxmlformats.org/drawingml/2006/main">
            <a:ext uri="{FF2B5EF4-FFF2-40B4-BE49-F238E27FC236}">
              <a16:creationId xmlns:a16="http://schemas.microsoft.com/office/drawing/2014/main" id="{B4AD13D4-1AF2-02B2-3832-F55940607D45}"/>
            </a:ext>
          </a:extLst>
        </cdr:cNvPr>
        <cdr:cNvCxnSpPr>
          <a:stCxn xmlns:a="http://schemas.openxmlformats.org/drawingml/2006/main" id="6" idx="1"/>
        </cdr:cNvCxnSpPr>
      </cdr:nvCxnSpPr>
      <cdr:spPr>
        <a:xfrm xmlns:a="http://schemas.openxmlformats.org/drawingml/2006/main" flipH="1">
          <a:off x="5075290" y="2439772"/>
          <a:ext cx="666164" cy="14425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0.28057</cdr:x>
      <cdr:y>0.77368</cdr:y>
    </cdr:from>
    <cdr:to>
      <cdr:x>0.98646</cdr:x>
      <cdr:y>0.94526</cdr:y>
    </cdr:to>
    <cdr:sp macro="" textlink="">
      <cdr:nvSpPr>
        <cdr:cNvPr id="3" name="กล่องข้อความ 1"/>
        <cdr:cNvSpPr txBox="1"/>
      </cdr:nvSpPr>
      <cdr:spPr>
        <a:xfrm xmlns:a="http://schemas.openxmlformats.org/drawingml/2006/main">
          <a:off x="1350078" y="4181694"/>
          <a:ext cx="3396700" cy="9273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งบประมาณหลังปรับโอน</a:t>
          </a:r>
          <a:r>
            <a:rPr lang="th-TH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104</a:t>
          </a:r>
          <a:r>
            <a:rPr lang="en-US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,6</a:t>
          </a:r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45</a:t>
          </a:r>
          <a:r>
            <a:rPr lang="en-US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</a:t>
          </a:r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187</a:t>
          </a:r>
          <a:r>
            <a:rPr lang="en-US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.00</a:t>
          </a:r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บาท </a:t>
          </a:r>
          <a:r>
            <a:rPr lang="en-US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              </a:t>
          </a:r>
          <a:r>
            <a:rPr lang="en-US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</a:t>
          </a:r>
          <a:r>
            <a:rPr lang="th-TH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การเบิกจ่าย   	  	</a:t>
          </a:r>
          <a:r>
            <a:rPr lang="th-TH" sz="14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400" b="1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76,344,337.36</a:t>
          </a:r>
          <a:r>
            <a:rPr lang="th-TH" sz="14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บาท</a:t>
          </a:r>
          <a:r>
            <a:rPr lang="en-US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                                                 </a:t>
          </a:r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งบประมาณคงเหลือ </a:t>
          </a:r>
          <a:r>
            <a:rPr lang="th-TH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</a:t>
          </a:r>
          <a:r>
            <a:rPr lang="en-US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lang="en-US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28,300,849.64</a:t>
          </a:r>
          <a:r>
            <a:rPr lang="th-TH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บาท</a:t>
          </a:r>
          <a:endParaRPr lang="th-TH" sz="1400" b="1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0.28705</cdr:x>
      <cdr:y>0.76212</cdr:y>
    </cdr:from>
    <cdr:to>
      <cdr:x>1</cdr:x>
      <cdr:y>1</cdr:y>
    </cdr:to>
    <cdr:sp macro="" textlink="">
      <cdr:nvSpPr>
        <cdr:cNvPr id="2" name="กล่องข้อความ 1"/>
        <cdr:cNvSpPr txBox="1"/>
      </cdr:nvSpPr>
      <cdr:spPr>
        <a:xfrm xmlns:a="http://schemas.openxmlformats.org/drawingml/2006/main">
          <a:off x="1364472" y="3493284"/>
          <a:ext cx="3388956" cy="1090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งบประมาณหลังปรับโอน	104,</a:t>
          </a:r>
          <a:r>
            <a:rPr lang="en-US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6</a:t>
          </a:r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45,187.00  บาท </a:t>
          </a:r>
          <a:r>
            <a:rPr lang="en-US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</a:t>
          </a:r>
          <a:r>
            <a:rPr lang="en-US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</a:t>
          </a:r>
          <a:r>
            <a:rPr lang="th-TH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ก่อหนี้ผูกพันแล้ว                          </a:t>
          </a:r>
          <a:r>
            <a:rPr lang="en-US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104,531,882.87</a:t>
          </a:r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en-US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บาท        ยังไม่ก่อหนี้ผูกพัน</a:t>
          </a:r>
          <a:r>
            <a:rPr lang="en-US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</a:t>
          </a:r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  </a:t>
          </a:r>
          <a:r>
            <a:rPr lang="en-US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</a:t>
          </a:r>
          <a:r>
            <a:rPr lang="en-US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</a:t>
          </a:r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en-US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บาท</a:t>
          </a:r>
          <a:r>
            <a:rPr lang="en-US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                             </a:t>
          </a:r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งบประมาณคงเหลือหลังก่อหนี้   </a:t>
          </a:r>
          <a:r>
            <a:rPr lang="th-TH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</a:t>
          </a:r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lang="en-US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lang="en-US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113,304.13</a:t>
          </a:r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lang="th-TH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บาท</a:t>
          </a:r>
          <a:endParaRPr lang="th-TH" sz="1400" b="1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cdr:txBody>
    </cdr:sp>
  </cdr:relSizeAnchor>
  <cdr:relSizeAnchor xmlns:cdr="http://schemas.openxmlformats.org/drawingml/2006/chartDrawing">
    <cdr:from>
      <cdr:x>0.12722</cdr:x>
      <cdr:y>0.02873</cdr:y>
    </cdr:from>
    <cdr:to>
      <cdr:x>0.38295</cdr:x>
      <cdr:y>0.16573</cdr:y>
    </cdr:to>
    <cdr:sp macro="" textlink="">
      <cdr:nvSpPr>
        <cdr:cNvPr id="3" name="กล่องข้อความ 10"/>
        <cdr:cNvSpPr txBox="1"/>
      </cdr:nvSpPr>
      <cdr:spPr>
        <a:xfrm xmlns:a="http://schemas.openxmlformats.org/drawingml/2006/main">
          <a:off x="604731" y="135964"/>
          <a:ext cx="1215594" cy="64826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113,304.13</a:t>
          </a:r>
          <a:endParaRPr lang="th-TH" sz="1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 xmlns:a="http://schemas.openxmlformats.org/drawingml/2006/main">
          <a:pPr algn="ctr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0.11</a:t>
          </a:r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cdr:txBody>
    </cdr:sp>
  </cdr:relSizeAnchor>
  <cdr:relSizeAnchor xmlns:cdr="http://schemas.openxmlformats.org/drawingml/2006/chartDrawing">
    <cdr:from>
      <cdr:x>0.27663</cdr:x>
      <cdr:y>0.16635</cdr:y>
    </cdr:from>
    <cdr:to>
      <cdr:x>0.34789</cdr:x>
      <cdr:y>0.22587</cdr:y>
    </cdr:to>
    <cdr:cxnSp macro="">
      <cdr:nvCxnSpPr>
        <cdr:cNvPr id="5" name="ลูกศรเชื่อมต่อแบบตรง 4">
          <a:extLst xmlns:a="http://schemas.openxmlformats.org/drawingml/2006/main">
            <a:ext uri="{FF2B5EF4-FFF2-40B4-BE49-F238E27FC236}">
              <a16:creationId xmlns:a16="http://schemas.microsoft.com/office/drawing/2014/main" id="{03FEE829-C7F5-134A-257B-2F2D37B1E41A}"/>
            </a:ext>
          </a:extLst>
        </cdr:cNvPr>
        <cdr:cNvCxnSpPr/>
      </cdr:nvCxnSpPr>
      <cdr:spPr>
        <a:xfrm xmlns:a="http://schemas.openxmlformats.org/drawingml/2006/main">
          <a:off x="1314921" y="787138"/>
          <a:ext cx="338729" cy="28163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0.01114</cdr:x>
      <cdr:y>0.78031</cdr:y>
    </cdr:from>
    <cdr:to>
      <cdr:x>0.27608</cdr:x>
      <cdr:y>0.91</cdr:y>
    </cdr:to>
    <cdr:sp macro="" textlink="">
      <cdr:nvSpPr>
        <cdr:cNvPr id="6" name="กล่องข้อความ 10"/>
        <cdr:cNvSpPr txBox="1"/>
      </cdr:nvSpPr>
      <cdr:spPr>
        <a:xfrm xmlns:a="http://schemas.openxmlformats.org/drawingml/2006/main">
          <a:off x="52938" y="3692258"/>
          <a:ext cx="1259396" cy="61366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104,531,882.87</a:t>
          </a:r>
          <a:endParaRPr lang="th-TH" sz="1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 xmlns:a="http://schemas.openxmlformats.org/drawingml/2006/main">
          <a:pPr algn="ctr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(74.06)</a:t>
          </a:r>
        </a:p>
      </cdr:txBody>
    </cdr:sp>
  </cdr:relSizeAnchor>
</c:userShape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3B7E0-6093-47F4-90AF-30A5A59BF9BA}">
  <sheetPr>
    <tabColor theme="6" tint="-0.249977111117893"/>
  </sheetPr>
  <dimension ref="A1:P163"/>
  <sheetViews>
    <sheetView view="pageBreakPreview" zoomScaleNormal="100" zoomScaleSheetLayoutView="100" workbookViewId="0">
      <selection activeCell="F14" sqref="F14"/>
    </sheetView>
  </sheetViews>
  <sheetFormatPr defaultColWidth="9.125" defaultRowHeight="27" x14ac:dyDescent="0.75"/>
  <cols>
    <col min="1" max="1" width="9.75" style="34" customWidth="1"/>
    <col min="2" max="2" width="18.625" style="34" customWidth="1"/>
    <col min="3" max="3" width="18.875" style="34" bestFit="1" customWidth="1"/>
    <col min="4" max="4" width="10" style="34" customWidth="1"/>
    <col min="5" max="5" width="20.25" style="34" customWidth="1"/>
    <col min="6" max="6" width="19.25" style="56" customWidth="1"/>
    <col min="7" max="7" width="8.625" style="34" customWidth="1"/>
    <col min="8" max="8" width="15.75" style="34" bestFit="1" customWidth="1"/>
    <col min="9" max="9" width="18.875" style="34" bestFit="1" customWidth="1"/>
    <col min="10" max="10" width="12.75" style="34" bestFit="1" customWidth="1"/>
    <col min="11" max="11" width="9.75" style="34" customWidth="1"/>
    <col min="12" max="12" width="17.375" style="35" bestFit="1" customWidth="1"/>
    <col min="13" max="16384" width="9.125" style="34"/>
  </cols>
  <sheetData>
    <row r="1" spans="1:12" x14ac:dyDescent="0.75">
      <c r="B1" s="72" t="s">
        <v>79</v>
      </c>
      <c r="C1" s="72"/>
      <c r="D1" s="72"/>
      <c r="E1" s="72"/>
      <c r="F1" s="72"/>
      <c r="G1" s="72"/>
      <c r="H1" s="72"/>
      <c r="I1" s="72"/>
      <c r="J1" s="72"/>
    </row>
    <row r="2" spans="1:12" s="39" customFormat="1" x14ac:dyDescent="0.75">
      <c r="A2" s="36"/>
      <c r="B2" s="72" t="s">
        <v>76</v>
      </c>
      <c r="C2" s="72"/>
      <c r="D2" s="72"/>
      <c r="E2" s="72"/>
      <c r="F2" s="72"/>
      <c r="G2" s="72"/>
      <c r="H2" s="72"/>
      <c r="I2" s="72"/>
      <c r="J2" s="72"/>
      <c r="K2" s="37"/>
      <c r="L2" s="38"/>
    </row>
    <row r="3" spans="1:12" s="37" customFormat="1" ht="4.5" customHeight="1" x14ac:dyDescent="0.7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41"/>
    </row>
    <row r="4" spans="1:12" x14ac:dyDescent="0.75">
      <c r="B4" s="73" t="s">
        <v>24</v>
      </c>
      <c r="C4" s="73"/>
      <c r="D4" s="73"/>
      <c r="E4" s="73"/>
      <c r="F4" s="73"/>
      <c r="G4" s="73"/>
      <c r="H4" s="73"/>
      <c r="I4" s="73"/>
      <c r="J4" s="73"/>
      <c r="K4" s="42"/>
    </row>
    <row r="5" spans="1:12" ht="21" customHeight="1" x14ac:dyDescent="0.75">
      <c r="B5" s="75" t="s">
        <v>25</v>
      </c>
      <c r="C5" s="76"/>
      <c r="D5" s="76"/>
      <c r="E5" s="76"/>
      <c r="F5" s="76"/>
      <c r="G5" s="76"/>
      <c r="H5" s="76"/>
      <c r="I5" s="76"/>
      <c r="J5" s="77"/>
      <c r="K5" s="39"/>
    </row>
    <row r="6" spans="1:12" s="42" customFormat="1" x14ac:dyDescent="0.6">
      <c r="B6" s="75" t="s">
        <v>26</v>
      </c>
      <c r="C6" s="76"/>
      <c r="D6" s="77"/>
      <c r="E6" s="75" t="s">
        <v>27</v>
      </c>
      <c r="F6" s="76"/>
      <c r="G6" s="77"/>
      <c r="H6" s="75" t="s">
        <v>28</v>
      </c>
      <c r="I6" s="76"/>
      <c r="J6" s="77"/>
      <c r="K6" s="39"/>
      <c r="L6" s="43"/>
    </row>
    <row r="7" spans="1:12" s="40" customFormat="1" ht="18.75" customHeight="1" x14ac:dyDescent="0.6">
      <c r="B7" s="44" t="s">
        <v>10</v>
      </c>
      <c r="C7" s="44" t="s">
        <v>19</v>
      </c>
      <c r="D7" s="44" t="s">
        <v>29</v>
      </c>
      <c r="E7" s="44" t="s">
        <v>10</v>
      </c>
      <c r="F7" s="44" t="s">
        <v>19</v>
      </c>
      <c r="G7" s="44" t="s">
        <v>29</v>
      </c>
      <c r="H7" s="45" t="s">
        <v>10</v>
      </c>
      <c r="I7" s="44" t="s">
        <v>19</v>
      </c>
      <c r="J7" s="44" t="s">
        <v>29</v>
      </c>
      <c r="K7" s="39"/>
      <c r="L7" s="46"/>
    </row>
    <row r="8" spans="1:12" s="40" customFormat="1" x14ac:dyDescent="0.6">
      <c r="B8" s="47">
        <v>435541695</v>
      </c>
      <c r="C8" s="47">
        <v>359042037.83999997</v>
      </c>
      <c r="D8" s="48">
        <f>(C8/B8)*100</f>
        <v>82.435744260948411</v>
      </c>
      <c r="E8" s="47">
        <v>43470505</v>
      </c>
      <c r="F8" s="47">
        <v>42163503</v>
      </c>
      <c r="G8" s="48">
        <f>(F8/E8)*100</f>
        <v>96.993359060355971</v>
      </c>
      <c r="H8" s="50">
        <f>B8+E8</f>
        <v>479012200</v>
      </c>
      <c r="I8" s="49">
        <f>C8+F8</f>
        <v>401205540.83999997</v>
      </c>
      <c r="J8" s="48">
        <f>(I8/H8)*100</f>
        <v>83.756852297290123</v>
      </c>
      <c r="K8" s="38"/>
      <c r="L8" s="51"/>
    </row>
    <row r="9" spans="1:12" s="42" customFormat="1" ht="9" customHeight="1" x14ac:dyDescent="0.75">
      <c r="A9" s="52"/>
      <c r="B9" s="52"/>
      <c r="C9" s="53"/>
      <c r="D9" s="53"/>
      <c r="E9" s="53"/>
      <c r="F9" s="54"/>
      <c r="G9" s="52"/>
      <c r="H9" s="52"/>
      <c r="I9" s="34"/>
      <c r="J9" s="34"/>
      <c r="K9" s="34"/>
      <c r="L9" s="43"/>
    </row>
    <row r="10" spans="1:12" s="40" customFormat="1" x14ac:dyDescent="0.6">
      <c r="B10" s="73" t="s">
        <v>41</v>
      </c>
      <c r="C10" s="73"/>
      <c r="D10" s="73"/>
      <c r="E10" s="73"/>
      <c r="F10" s="73"/>
      <c r="G10" s="73"/>
      <c r="H10" s="73"/>
      <c r="I10" s="73"/>
      <c r="J10" s="73"/>
      <c r="K10" s="42"/>
      <c r="L10" s="46"/>
    </row>
    <row r="11" spans="1:12" s="40" customFormat="1" ht="18.75" customHeight="1" x14ac:dyDescent="0.6">
      <c r="B11" s="75" t="s">
        <v>25</v>
      </c>
      <c r="C11" s="76"/>
      <c r="D11" s="76"/>
      <c r="E11" s="76"/>
      <c r="F11" s="76"/>
      <c r="G11" s="76"/>
      <c r="H11" s="76"/>
      <c r="I11" s="76"/>
      <c r="J11" s="77"/>
      <c r="L11" s="46"/>
    </row>
    <row r="12" spans="1:12" s="40" customFormat="1" x14ac:dyDescent="0.6">
      <c r="B12" s="75" t="s">
        <v>26</v>
      </c>
      <c r="C12" s="76"/>
      <c r="D12" s="77"/>
      <c r="E12" s="75" t="s">
        <v>27</v>
      </c>
      <c r="F12" s="76"/>
      <c r="G12" s="77"/>
      <c r="H12" s="75" t="s">
        <v>28</v>
      </c>
      <c r="I12" s="76"/>
      <c r="J12" s="77"/>
      <c r="L12" s="46"/>
    </row>
    <row r="13" spans="1:12" s="39" customFormat="1" x14ac:dyDescent="0.6">
      <c r="B13" s="44" t="s">
        <v>10</v>
      </c>
      <c r="C13" s="44" t="s">
        <v>20</v>
      </c>
      <c r="D13" s="44" t="s">
        <v>29</v>
      </c>
      <c r="E13" s="44" t="s">
        <v>10</v>
      </c>
      <c r="F13" s="44" t="s">
        <v>20</v>
      </c>
      <c r="G13" s="44" t="s">
        <v>29</v>
      </c>
      <c r="H13" s="45" t="s">
        <v>10</v>
      </c>
      <c r="I13" s="44" t="s">
        <v>20</v>
      </c>
      <c r="J13" s="44" t="s">
        <v>29</v>
      </c>
      <c r="K13" s="40"/>
      <c r="L13" s="38"/>
    </row>
    <row r="14" spans="1:12" x14ac:dyDescent="0.75">
      <c r="B14" s="49">
        <f>74154836+30490351</f>
        <v>104645187</v>
      </c>
      <c r="C14" s="49">
        <f>74154834.87+30377048</f>
        <v>104531882.87</v>
      </c>
      <c r="D14" s="48">
        <f>(C14/B14)*100</f>
        <v>99.891725426416414</v>
      </c>
      <c r="E14" s="49">
        <v>0</v>
      </c>
      <c r="F14" s="49">
        <v>0</v>
      </c>
      <c r="G14" s="48">
        <v>0</v>
      </c>
      <c r="H14" s="50">
        <f>B14+E14</f>
        <v>104645187</v>
      </c>
      <c r="I14" s="49">
        <f>C14-F14</f>
        <v>104531882.87</v>
      </c>
      <c r="J14" s="48">
        <f>(I14/H14)*100</f>
        <v>99.891725426416414</v>
      </c>
      <c r="K14" s="36"/>
    </row>
    <row r="15" spans="1:12" ht="8.25" customHeight="1" x14ac:dyDescent="0.75">
      <c r="C15" s="55"/>
      <c r="D15" s="55"/>
    </row>
    <row r="16" spans="1:12" x14ac:dyDescent="0.75">
      <c r="B16" s="73" t="s">
        <v>42</v>
      </c>
      <c r="C16" s="73"/>
      <c r="D16" s="73"/>
      <c r="E16" s="73"/>
      <c r="F16" s="73"/>
      <c r="G16" s="73"/>
      <c r="H16" s="73"/>
      <c r="I16" s="73"/>
      <c r="J16" s="73"/>
      <c r="K16" s="42"/>
    </row>
    <row r="17" spans="2:12" ht="18.75" customHeight="1" x14ac:dyDescent="0.75">
      <c r="B17" s="75" t="s">
        <v>25</v>
      </c>
      <c r="C17" s="76"/>
      <c r="D17" s="76"/>
      <c r="E17" s="76"/>
      <c r="F17" s="76"/>
      <c r="G17" s="76"/>
      <c r="H17" s="76"/>
      <c r="I17" s="76"/>
      <c r="J17" s="77"/>
      <c r="K17" s="40"/>
    </row>
    <row r="18" spans="2:12" x14ac:dyDescent="0.75">
      <c r="B18" s="75" t="s">
        <v>26</v>
      </c>
      <c r="C18" s="76"/>
      <c r="D18" s="77"/>
      <c r="E18" s="75" t="s">
        <v>27</v>
      </c>
      <c r="F18" s="76"/>
      <c r="G18" s="77"/>
      <c r="H18" s="75" t="s">
        <v>28</v>
      </c>
      <c r="I18" s="76"/>
      <c r="J18" s="77"/>
      <c r="K18" s="40"/>
    </row>
    <row r="19" spans="2:12" x14ac:dyDescent="0.75">
      <c r="B19" s="44" t="s">
        <v>10</v>
      </c>
      <c r="C19" s="44" t="s">
        <v>19</v>
      </c>
      <c r="D19" s="44" t="s">
        <v>29</v>
      </c>
      <c r="E19" s="44" t="s">
        <v>10</v>
      </c>
      <c r="F19" s="44" t="s">
        <v>19</v>
      </c>
      <c r="G19" s="44" t="s">
        <v>29</v>
      </c>
      <c r="H19" s="45" t="s">
        <v>10</v>
      </c>
      <c r="I19" s="44" t="s">
        <v>19</v>
      </c>
      <c r="J19" s="44" t="s">
        <v>29</v>
      </c>
      <c r="K19" s="40"/>
    </row>
    <row r="20" spans="2:12" x14ac:dyDescent="0.75">
      <c r="B20" s="49">
        <f>B14</f>
        <v>104645187</v>
      </c>
      <c r="C20" s="49">
        <f>30475948+45868389.36</f>
        <v>76344337.359999999</v>
      </c>
      <c r="D20" s="48">
        <f>(C20/B20)*100</f>
        <v>72.955421600039756</v>
      </c>
      <c r="E20" s="49">
        <v>0</v>
      </c>
      <c r="F20" s="49">
        <v>0</v>
      </c>
      <c r="G20" s="48">
        <v>0</v>
      </c>
      <c r="H20" s="50">
        <f>B20+E20</f>
        <v>104645187</v>
      </c>
      <c r="I20" s="49">
        <f>C20+F20</f>
        <v>76344337.359999999</v>
      </c>
      <c r="J20" s="48">
        <f>(I20/H20)*100</f>
        <v>72.955421600039756</v>
      </c>
      <c r="K20" s="39"/>
    </row>
    <row r="21" spans="2:12" ht="12.75" customHeight="1" x14ac:dyDescent="0.75">
      <c r="B21" s="36"/>
      <c r="C21" s="36"/>
      <c r="D21" s="57"/>
      <c r="E21" s="36"/>
      <c r="F21" s="36"/>
      <c r="G21" s="57"/>
      <c r="H21" s="58"/>
      <c r="I21" s="36"/>
      <c r="J21" s="57"/>
      <c r="K21" s="39"/>
    </row>
    <row r="22" spans="2:12" s="59" customFormat="1" ht="24" customHeight="1" x14ac:dyDescent="0.6">
      <c r="B22" s="63" t="s">
        <v>43</v>
      </c>
      <c r="F22" s="61"/>
      <c r="L22" s="62"/>
    </row>
    <row r="23" spans="2:12" s="60" customFormat="1" ht="24" customHeight="1" x14ac:dyDescent="0.6">
      <c r="B23" s="60" t="s">
        <v>87</v>
      </c>
      <c r="F23" s="64"/>
      <c r="L23" s="65"/>
    </row>
    <row r="24" spans="2:12" s="60" customFormat="1" ht="24" customHeight="1" x14ac:dyDescent="0.6">
      <c r="B24" s="60" t="s">
        <v>80</v>
      </c>
      <c r="F24" s="64"/>
      <c r="L24" s="65"/>
    </row>
    <row r="25" spans="2:12" s="60" customFormat="1" ht="24" customHeight="1" x14ac:dyDescent="0.6">
      <c r="B25" s="60" t="s">
        <v>81</v>
      </c>
      <c r="F25" s="64"/>
      <c r="L25" s="65"/>
    </row>
    <row r="26" spans="2:12" s="60" customFormat="1" ht="24" customHeight="1" x14ac:dyDescent="0.6">
      <c r="B26" s="60" t="s">
        <v>82</v>
      </c>
      <c r="F26" s="64"/>
      <c r="L26" s="65"/>
    </row>
    <row r="27" spans="2:12" s="60" customFormat="1" ht="24" customHeight="1" x14ac:dyDescent="0.6">
      <c r="B27" s="60" t="s">
        <v>83</v>
      </c>
      <c r="F27" s="64"/>
      <c r="L27" s="65"/>
    </row>
    <row r="162" spans="16:16" x14ac:dyDescent="0.75">
      <c r="P162" s="66"/>
    </row>
    <row r="163" spans="16:16" x14ac:dyDescent="0.75">
      <c r="P163" s="66"/>
    </row>
  </sheetData>
  <mergeCells count="18">
    <mergeCell ref="B18:D18"/>
    <mergeCell ref="E18:G18"/>
    <mergeCell ref="H18:J18"/>
    <mergeCell ref="B11:J11"/>
    <mergeCell ref="B12:D12"/>
    <mergeCell ref="E12:G12"/>
    <mergeCell ref="H12:J12"/>
    <mergeCell ref="B16:J16"/>
    <mergeCell ref="B17:J17"/>
    <mergeCell ref="B1:J1"/>
    <mergeCell ref="B10:J10"/>
    <mergeCell ref="B2:J2"/>
    <mergeCell ref="A3:K3"/>
    <mergeCell ref="B4:J4"/>
    <mergeCell ref="B5:J5"/>
    <mergeCell ref="B6:D6"/>
    <mergeCell ref="E6:G6"/>
    <mergeCell ref="H6:J6"/>
  </mergeCells>
  <printOptions horizontalCentered="1"/>
  <pageMargins left="0.11811023622047245" right="0.11811023622047245" top="0.16" bottom="0.11811023622047245" header="0.16" footer="0.16"/>
  <pageSetup paperSize="9" scale="93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1C99-7AA1-4AAB-90C7-CDF41C769197}">
  <sheetPr>
    <tabColor theme="6" tint="-0.249977111117893"/>
  </sheetPr>
  <dimension ref="A6:U47"/>
  <sheetViews>
    <sheetView tabSelected="1" view="pageBreakPreview" topLeftCell="A6" zoomScale="90" zoomScaleNormal="100" zoomScaleSheetLayoutView="90" workbookViewId="0">
      <selection activeCell="L30" sqref="L30"/>
    </sheetView>
  </sheetViews>
  <sheetFormatPr defaultColWidth="9.125" defaultRowHeight="16.8" x14ac:dyDescent="0.5"/>
  <cols>
    <col min="1" max="14" width="10.25" style="1" customWidth="1"/>
    <col min="15" max="16" width="9.125" style="1"/>
    <col min="17" max="17" width="19.25" style="1" customWidth="1"/>
    <col min="18" max="18" width="11" style="1" customWidth="1"/>
    <col min="19" max="19" width="9.125" style="1"/>
    <col min="20" max="20" width="15.375" style="1" customWidth="1"/>
    <col min="21" max="16384" width="9.125" style="1"/>
  </cols>
  <sheetData>
    <row r="6" spans="2:19" ht="21" x14ac:dyDescent="0.6">
      <c r="P6" s="1" t="s">
        <v>71</v>
      </c>
      <c r="Q6" s="20">
        <v>435541780</v>
      </c>
      <c r="S6" s="1">
        <v>100</v>
      </c>
    </row>
    <row r="7" spans="2:19" ht="21" x14ac:dyDescent="0.6">
      <c r="P7" s="1" t="s">
        <v>19</v>
      </c>
      <c r="Q7" s="20">
        <v>359042037.83999997</v>
      </c>
      <c r="R7" s="22">
        <f>Q7*100/Q6</f>
        <v>82.435728172851753</v>
      </c>
      <c r="S7" s="1">
        <v>37.19</v>
      </c>
    </row>
    <row r="8" spans="2:19" x14ac:dyDescent="0.5">
      <c r="P8" s="1" t="s">
        <v>72</v>
      </c>
      <c r="Q8" s="21">
        <f>SUM(Q6-Q7)</f>
        <v>76499742.160000026</v>
      </c>
      <c r="S8" s="1">
        <f>S6-S7</f>
        <v>62.81</v>
      </c>
    </row>
    <row r="11" spans="2:19" x14ac:dyDescent="0.5">
      <c r="B11" s="1" t="s">
        <v>25</v>
      </c>
    </row>
    <row r="13" spans="2:19" x14ac:dyDescent="0.5">
      <c r="F13" s="1">
        <f>F43+F71+F100+F129+F158+F187+F216+F245+F274+F303</f>
        <v>0</v>
      </c>
    </row>
    <row r="14" spans="2:19" x14ac:dyDescent="0.5">
      <c r="P14" s="1" t="s">
        <v>62</v>
      </c>
      <c r="Q14" s="1" t="s">
        <v>18</v>
      </c>
    </row>
    <row r="15" spans="2:19" x14ac:dyDescent="0.5">
      <c r="O15" s="1">
        <v>100</v>
      </c>
      <c r="P15" s="22">
        <f>R7</f>
        <v>82.435728172851753</v>
      </c>
      <c r="Q15" s="22">
        <f>SUM(O15-P15)</f>
        <v>17.564271827148247</v>
      </c>
    </row>
    <row r="33" spans="1:21" ht="27" x14ac:dyDescent="0.75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Q33" s="49">
        <f>'1.สรุป'!B20</f>
        <v>104645187</v>
      </c>
    </row>
    <row r="34" spans="1:21" ht="27" x14ac:dyDescent="0.75">
      <c r="A34" s="23"/>
      <c r="B34" s="23"/>
      <c r="C34" s="78" t="s">
        <v>75</v>
      </c>
      <c r="D34" s="78"/>
      <c r="E34" s="78"/>
      <c r="F34" s="78"/>
      <c r="G34" s="78"/>
      <c r="H34" s="78"/>
      <c r="I34" s="78"/>
      <c r="J34" s="78"/>
      <c r="K34" s="78"/>
      <c r="L34" s="23"/>
      <c r="M34" s="23"/>
      <c r="Q34" s="49">
        <f>'1.สรุป'!C20</f>
        <v>76344337.359999999</v>
      </c>
    </row>
    <row r="35" spans="1:21" ht="27" x14ac:dyDescent="0.75">
      <c r="A35" s="23"/>
      <c r="B35" s="23"/>
      <c r="C35" s="78" t="s">
        <v>88</v>
      </c>
      <c r="D35" s="78"/>
      <c r="E35" s="78"/>
      <c r="F35" s="78"/>
      <c r="G35" s="78"/>
      <c r="H35" s="78"/>
      <c r="I35" s="78"/>
      <c r="J35" s="78"/>
      <c r="K35" s="78"/>
      <c r="L35" s="23"/>
      <c r="M35" s="23"/>
      <c r="Q35" s="21">
        <f>SUM(Q33-Q34)</f>
        <v>28300849.640000001</v>
      </c>
      <c r="R35" s="1" t="s">
        <v>62</v>
      </c>
      <c r="S35" s="1" t="s">
        <v>18</v>
      </c>
    </row>
    <row r="36" spans="1:21" x14ac:dyDescent="0.5">
      <c r="Q36" s="1">
        <v>100</v>
      </c>
      <c r="R36" s="22">
        <f>(Q34/Q33)*100</f>
        <v>72.955421600039756</v>
      </c>
      <c r="S36" s="22">
        <f>SUM(Q36-R36)</f>
        <v>27.044578399960244</v>
      </c>
    </row>
    <row r="38" spans="1:21" x14ac:dyDescent="0.5">
      <c r="R38" s="1" t="s">
        <v>39</v>
      </c>
    </row>
    <row r="39" spans="1:21" x14ac:dyDescent="0.5">
      <c r="R39" s="1" t="s">
        <v>39</v>
      </c>
      <c r="S39" s="1" t="s">
        <v>60</v>
      </c>
      <c r="T39" s="1" t="s">
        <v>61</v>
      </c>
    </row>
    <row r="40" spans="1:21" x14ac:dyDescent="0.5">
      <c r="R40" s="22">
        <v>100</v>
      </c>
      <c r="S40" s="1">
        <v>0</v>
      </c>
      <c r="T40" s="1">
        <v>0.11</v>
      </c>
      <c r="U40" s="1">
        <f>SUM(R40:T40)</f>
        <v>100.11</v>
      </c>
    </row>
    <row r="42" spans="1:21" ht="27" x14ac:dyDescent="0.5">
      <c r="P42" s="1" t="s">
        <v>21</v>
      </c>
      <c r="Q42" s="49">
        <v>104645187</v>
      </c>
    </row>
    <row r="43" spans="1:21" ht="27" x14ac:dyDescent="0.5">
      <c r="P43" s="1" t="s">
        <v>20</v>
      </c>
      <c r="Q43" s="49">
        <v>104531882.87</v>
      </c>
      <c r="R43" s="22">
        <f>SUM(Q43*100/Q42)</f>
        <v>99.891725426416414</v>
      </c>
    </row>
    <row r="44" spans="1:21" x14ac:dyDescent="0.5">
      <c r="P44" s="1" t="s">
        <v>73</v>
      </c>
      <c r="Q44" s="71">
        <v>0</v>
      </c>
      <c r="R44" s="22">
        <f>SUM(Q44*100/Q42)</f>
        <v>0</v>
      </c>
    </row>
    <row r="45" spans="1:21" ht="21" x14ac:dyDescent="0.6">
      <c r="P45" s="1" t="s">
        <v>40</v>
      </c>
      <c r="Q45" s="20">
        <f>Q42-Q43</f>
        <v>113304.12999999523</v>
      </c>
      <c r="R45" s="22">
        <f>SUM(Q45*100/Q42)</f>
        <v>0.1082745735835851</v>
      </c>
    </row>
    <row r="46" spans="1:21" x14ac:dyDescent="0.5">
      <c r="Q46" s="21">
        <f>SUM(Q43:Q45)</f>
        <v>104645187</v>
      </c>
      <c r="R46" s="22">
        <f>SUM(R43:R45)</f>
        <v>100</v>
      </c>
    </row>
    <row r="47" spans="1:21" x14ac:dyDescent="0.5">
      <c r="P47" s="1" t="s">
        <v>74</v>
      </c>
      <c r="Q47" s="2">
        <f>SUM(Q42-Q46)</f>
        <v>0</v>
      </c>
      <c r="R47" s="22"/>
    </row>
  </sheetData>
  <mergeCells count="3">
    <mergeCell ref="A33:M33"/>
    <mergeCell ref="C34:K34"/>
    <mergeCell ref="C35:K35"/>
  </mergeCells>
  <pageMargins left="0.66" right="0.49" top="0.74803149606299213" bottom="0.74803149606299213" header="0.31496062992125984" footer="0.31496062992125984"/>
  <pageSetup paperSize="9" scale="87" orientation="landscape" r:id="rId1"/>
  <rowBreaks count="1" manualBreakCount="1">
    <brk id="33" max="13" man="1"/>
  </rowBreaks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4F03-DE82-4BEA-9A45-431E8F63C8C4}">
  <sheetPr>
    <tabColor theme="6" tint="-0.249977111117893"/>
  </sheetPr>
  <dimension ref="A1:P23"/>
  <sheetViews>
    <sheetView view="pageBreakPreview" topLeftCell="A13" zoomScale="90" zoomScaleNormal="100" zoomScaleSheetLayoutView="90" workbookViewId="0">
      <selection activeCell="F6" sqref="F6"/>
    </sheetView>
  </sheetViews>
  <sheetFormatPr defaultColWidth="9.125" defaultRowHeight="24.6" x14ac:dyDescent="0.7"/>
  <cols>
    <col min="1" max="1" width="22.375" style="82" customWidth="1"/>
    <col min="2" max="4" width="17.75" style="82" customWidth="1"/>
    <col min="5" max="5" width="17.75" style="82" hidden="1" customWidth="1"/>
    <col min="6" max="6" width="17.75" style="82" customWidth="1"/>
    <col min="7" max="7" width="17.75" style="82" hidden="1" customWidth="1"/>
    <col min="8" max="9" width="17.75" style="82" customWidth="1"/>
    <col min="10" max="10" width="17.75" style="82" hidden="1" customWidth="1"/>
    <col min="11" max="13" width="17.75" style="82" customWidth="1"/>
    <col min="14" max="15" width="9.125" style="82"/>
    <col min="16" max="16" width="13.875" style="82" customWidth="1"/>
    <col min="17" max="16384" width="9.125" style="82"/>
  </cols>
  <sheetData>
    <row r="1" spans="1:16" x14ac:dyDescent="0.7">
      <c r="A1" s="81" t="s">
        <v>77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6" x14ac:dyDescent="0.7">
      <c r="A2" s="83" t="s">
        <v>89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4" spans="1:16" s="95" customFormat="1" x14ac:dyDescent="0.7">
      <c r="A4" s="84"/>
      <c r="B4" s="85" t="s">
        <v>0</v>
      </c>
      <c r="C4" s="86" t="s">
        <v>1</v>
      </c>
      <c r="D4" s="87" t="s">
        <v>2</v>
      </c>
      <c r="E4" s="88"/>
      <c r="F4" s="89" t="s">
        <v>3</v>
      </c>
      <c r="G4" s="90"/>
      <c r="H4" s="91" t="s">
        <v>57</v>
      </c>
      <c r="I4" s="92"/>
      <c r="J4" s="88"/>
      <c r="K4" s="93" t="s">
        <v>4</v>
      </c>
      <c r="L4" s="94" t="s">
        <v>5</v>
      </c>
      <c r="M4" s="93" t="s">
        <v>84</v>
      </c>
    </row>
    <row r="5" spans="1:16" s="95" customFormat="1" x14ac:dyDescent="0.7">
      <c r="A5" s="96"/>
      <c r="B5" s="97" t="s">
        <v>7</v>
      </c>
      <c r="C5" s="98"/>
      <c r="D5" s="99" t="s">
        <v>8</v>
      </c>
      <c r="E5" s="100"/>
      <c r="F5" s="101"/>
      <c r="G5" s="102"/>
      <c r="H5" s="103" t="s">
        <v>58</v>
      </c>
      <c r="I5" s="99" t="s">
        <v>9</v>
      </c>
      <c r="J5" s="100"/>
      <c r="K5" s="104"/>
      <c r="L5" s="105"/>
      <c r="M5" s="104"/>
    </row>
    <row r="6" spans="1:16" s="95" customFormat="1" ht="24.9" customHeight="1" x14ac:dyDescent="0.7">
      <c r="A6" s="106" t="s">
        <v>10</v>
      </c>
      <c r="B6" s="107"/>
      <c r="C6" s="108"/>
      <c r="D6" s="109"/>
      <c r="E6" s="110"/>
      <c r="F6" s="111"/>
      <c r="G6" s="112"/>
      <c r="H6" s="107"/>
      <c r="I6" s="111"/>
      <c r="J6" s="112"/>
      <c r="K6" s="113"/>
      <c r="L6" s="113"/>
      <c r="M6" s="113"/>
    </row>
    <row r="7" spans="1:16" ht="21" customHeight="1" x14ac:dyDescent="0.7">
      <c r="A7" s="114" t="s">
        <v>11</v>
      </c>
      <c r="B7" s="115">
        <v>135686100</v>
      </c>
      <c r="C7" s="116">
        <v>32983900</v>
      </c>
      <c r="D7" s="117">
        <v>117014040</v>
      </c>
      <c r="E7" s="118">
        <f>SUM(B7:D7)</f>
        <v>285684040</v>
      </c>
      <c r="F7" s="119">
        <v>8150000</v>
      </c>
      <c r="G7" s="120">
        <f>SUM(F7:F7)</f>
        <v>8150000</v>
      </c>
      <c r="H7" s="121">
        <v>41236500</v>
      </c>
      <c r="I7" s="122">
        <v>87632000</v>
      </c>
      <c r="J7" s="123">
        <f>SUM(H7:I7)</f>
        <v>128868500</v>
      </c>
      <c r="K7" s="124">
        <v>41467700</v>
      </c>
      <c r="L7" s="125">
        <v>20483400</v>
      </c>
      <c r="M7" s="125">
        <f>+B7+C7+D7+F7+H7+I7+K7+L7</f>
        <v>484653640</v>
      </c>
      <c r="P7" s="126"/>
    </row>
    <row r="8" spans="1:16" ht="21" customHeight="1" x14ac:dyDescent="0.7">
      <c r="A8" s="114" t="s">
        <v>13</v>
      </c>
      <c r="B8" s="127">
        <v>149022</v>
      </c>
      <c r="C8" s="128">
        <v>718593</v>
      </c>
      <c r="D8" s="129"/>
      <c r="E8" s="118">
        <f>SUM(B8:D8)</f>
        <v>867615</v>
      </c>
      <c r="F8" s="130">
        <v>2108615</v>
      </c>
      <c r="G8" s="120">
        <f>SUM(F8:F8)</f>
        <v>2108615</v>
      </c>
      <c r="H8" s="130">
        <v>3466820</v>
      </c>
      <c r="I8" s="130">
        <v>81100</v>
      </c>
      <c r="J8" s="123">
        <f t="shared" ref="J8:J14" si="0">SUM(H8:I8)</f>
        <v>3547920</v>
      </c>
      <c r="K8" s="131">
        <v>0</v>
      </c>
      <c r="L8" s="132">
        <v>1111240</v>
      </c>
      <c r="M8" s="125">
        <f>+B8+C8+D8+F8+H8+I8+K8+L8</f>
        <v>7635390</v>
      </c>
      <c r="P8" s="133"/>
    </row>
    <row r="9" spans="1:16" ht="21" customHeight="1" x14ac:dyDescent="0.7">
      <c r="A9" s="114" t="s">
        <v>12</v>
      </c>
      <c r="B9" s="134">
        <v>-5947587</v>
      </c>
      <c r="C9" s="135">
        <v>-1577182</v>
      </c>
      <c r="D9" s="136">
        <v>-15283025</v>
      </c>
      <c r="E9" s="118">
        <f t="shared" ref="E9" si="1">SUM(B9:D9)</f>
        <v>-22807794</v>
      </c>
      <c r="F9" s="137">
        <v>0</v>
      </c>
      <c r="G9" s="120">
        <f>SUM(F9:F9)</f>
        <v>0</v>
      </c>
      <c r="H9" s="138">
        <v>-14189269</v>
      </c>
      <c r="I9" s="138">
        <v>-13401964</v>
      </c>
      <c r="J9" s="123">
        <f t="shared" si="0"/>
        <v>-27591233</v>
      </c>
      <c r="K9" s="139">
        <v>-6348318</v>
      </c>
      <c r="L9" s="140">
        <v>0</v>
      </c>
      <c r="M9" s="141">
        <f>+B9+C9+D9+F9+H9+I9+K9+L9</f>
        <v>-56747345</v>
      </c>
      <c r="P9" s="142"/>
    </row>
    <row r="10" spans="1:16" ht="21" customHeight="1" thickBot="1" x14ac:dyDescent="0.75">
      <c r="A10" s="114" t="s">
        <v>14</v>
      </c>
      <c r="B10" s="143">
        <f>SUM(B7:B9)</f>
        <v>129887535</v>
      </c>
      <c r="C10" s="143">
        <f>SUM(C7:C9)</f>
        <v>32125311</v>
      </c>
      <c r="D10" s="143">
        <f>SUM(D7:D9)</f>
        <v>101731015</v>
      </c>
      <c r="E10" s="143">
        <f t="shared" ref="E10:J10" si="2">SUM(E7:E9)</f>
        <v>263743861</v>
      </c>
      <c r="F10" s="143">
        <f>SUM(F7:F9)</f>
        <v>10258615</v>
      </c>
      <c r="G10" s="143">
        <f t="shared" si="2"/>
        <v>10258615</v>
      </c>
      <c r="H10" s="143">
        <f>SUM(H7:H9)</f>
        <v>30514051</v>
      </c>
      <c r="I10" s="143">
        <f>SUM(I7:I9)</f>
        <v>74311136</v>
      </c>
      <c r="J10" s="143">
        <f t="shared" si="2"/>
        <v>104825187</v>
      </c>
      <c r="K10" s="143">
        <f>SUM(K7:K9)</f>
        <v>35119382</v>
      </c>
      <c r="L10" s="143">
        <f>SUM(L7:L9)</f>
        <v>21594640</v>
      </c>
      <c r="M10" s="144">
        <f>+B10+C10+D10+F10+H10+I10+K10+L10</f>
        <v>435541685</v>
      </c>
      <c r="P10" s="133"/>
    </row>
    <row r="11" spans="1:16" ht="21" customHeight="1" thickTop="1" x14ac:dyDescent="0.7">
      <c r="A11" s="145" t="s">
        <v>15</v>
      </c>
      <c r="B11" s="146"/>
      <c r="C11" s="147"/>
      <c r="D11" s="148"/>
      <c r="E11" s="118">
        <f t="shared" ref="E11:E12" si="3">SUM(B11:D11)</f>
        <v>0</v>
      </c>
      <c r="F11" s="149"/>
      <c r="G11" s="120">
        <f>SUM(F11:F11)</f>
        <v>0</v>
      </c>
      <c r="H11" s="146"/>
      <c r="I11" s="149"/>
      <c r="J11" s="123">
        <f t="shared" si="0"/>
        <v>0</v>
      </c>
      <c r="K11" s="150"/>
      <c r="L11" s="150"/>
      <c r="M11" s="151"/>
      <c r="P11" s="133"/>
    </row>
    <row r="12" spans="1:16" ht="21" customHeight="1" x14ac:dyDescent="0.7">
      <c r="A12" s="114" t="s">
        <v>16</v>
      </c>
      <c r="B12" s="152">
        <v>120496917</v>
      </c>
      <c r="C12" s="153">
        <v>30495066.559999999</v>
      </c>
      <c r="D12" s="154">
        <v>86640631.959999993</v>
      </c>
      <c r="E12" s="118">
        <f t="shared" si="3"/>
        <v>237632615.51999998</v>
      </c>
      <c r="F12" s="122">
        <v>9990747.3499999996</v>
      </c>
      <c r="G12" s="155">
        <f>SUM(F12:F12)</f>
        <v>9990747.3499999996</v>
      </c>
      <c r="H12" s="152">
        <v>30475948</v>
      </c>
      <c r="I12" s="122">
        <v>45868389.359999999</v>
      </c>
      <c r="J12" s="156">
        <f t="shared" si="0"/>
        <v>76344337.359999999</v>
      </c>
      <c r="K12" s="124">
        <v>22192203.899999999</v>
      </c>
      <c r="L12" s="124">
        <v>12882133.08</v>
      </c>
      <c r="M12" s="125">
        <f>+B12+C12+D12+F12+H12+I12+K12+L12</f>
        <v>359042037.20999998</v>
      </c>
      <c r="P12" s="157"/>
    </row>
    <row r="13" spans="1:16" ht="21" customHeight="1" x14ac:dyDescent="0.7">
      <c r="A13" s="114" t="s">
        <v>17</v>
      </c>
      <c r="B13" s="158">
        <f>SUM(B12/B10*100)</f>
        <v>92.770193075109177</v>
      </c>
      <c r="C13" s="159">
        <f t="shared" ref="C13:L13" si="4">SUM(C12/C10*100)</f>
        <v>94.925358263457738</v>
      </c>
      <c r="D13" s="160">
        <f t="shared" si="4"/>
        <v>85.166388991597103</v>
      </c>
      <c r="E13" s="161">
        <f>SUM(E12/E10*100)</f>
        <v>90.099771277709465</v>
      </c>
      <c r="F13" s="162">
        <f t="shared" si="4"/>
        <v>97.388851711463971</v>
      </c>
      <c r="G13" s="163">
        <f t="shared" si="4"/>
        <v>97.388851711463971</v>
      </c>
      <c r="H13" s="158">
        <f t="shared" si="4"/>
        <v>99.875129657481395</v>
      </c>
      <c r="I13" s="164">
        <f t="shared" si="4"/>
        <v>61.724785582607701</v>
      </c>
      <c r="J13" s="123">
        <f t="shared" si="0"/>
        <v>161.5999152400891</v>
      </c>
      <c r="K13" s="165">
        <f t="shared" si="4"/>
        <v>63.190758595922894</v>
      </c>
      <c r="L13" s="165">
        <f t="shared" si="4"/>
        <v>59.654308106085587</v>
      </c>
      <c r="M13" s="165">
        <f>SUM(M12/M10*100)</f>
        <v>82.435746009018629</v>
      </c>
      <c r="P13" s="166"/>
    </row>
    <row r="14" spans="1:16" ht="21" customHeight="1" thickBot="1" x14ac:dyDescent="0.75">
      <c r="A14" s="114" t="s">
        <v>18</v>
      </c>
      <c r="B14" s="167">
        <f>SUM(B10-B12)</f>
        <v>9390618</v>
      </c>
      <c r="C14" s="143">
        <f t="shared" ref="C14:L14" si="5">SUM(C10-C12)</f>
        <v>1630244.4400000013</v>
      </c>
      <c r="D14" s="168">
        <f>SUM(D10-D12)</f>
        <v>15090383.040000007</v>
      </c>
      <c r="E14" s="118">
        <f>SUM(B14:D14)</f>
        <v>26111245.480000008</v>
      </c>
      <c r="F14" s="169">
        <f t="shared" si="5"/>
        <v>267867.65000000037</v>
      </c>
      <c r="G14" s="120">
        <f>SUM(F14:F14)</f>
        <v>267867.65000000037</v>
      </c>
      <c r="H14" s="167">
        <f t="shared" si="5"/>
        <v>38103</v>
      </c>
      <c r="I14" s="169">
        <f t="shared" si="5"/>
        <v>28442746.640000001</v>
      </c>
      <c r="J14" s="123">
        <f t="shared" si="0"/>
        <v>28480849.640000001</v>
      </c>
      <c r="K14" s="170">
        <f t="shared" si="5"/>
        <v>12927178.100000001</v>
      </c>
      <c r="L14" s="170">
        <f t="shared" si="5"/>
        <v>8712506.9199999999</v>
      </c>
      <c r="M14" s="171">
        <f>+B14+C14+D14+F14+H14+I14+K14+L14</f>
        <v>76499647.790000007</v>
      </c>
      <c r="P14" s="166"/>
    </row>
    <row r="15" spans="1:16" ht="21" customHeight="1" thickTop="1" x14ac:dyDescent="0.7">
      <c r="A15" s="114" t="s">
        <v>17</v>
      </c>
      <c r="B15" s="172">
        <f t="shared" ref="B15:L15" si="6">SUM(B14/B10*100)</f>
        <v>7.2298069248908288</v>
      </c>
      <c r="C15" s="173">
        <f t="shared" si="6"/>
        <v>5.0746417365422589</v>
      </c>
      <c r="D15" s="174">
        <f t="shared" si="6"/>
        <v>14.833611008402899</v>
      </c>
      <c r="E15" s="175">
        <f t="shared" si="6"/>
        <v>9.9002287222905281</v>
      </c>
      <c r="F15" s="176">
        <f t="shared" si="6"/>
        <v>2.6111482885360289</v>
      </c>
      <c r="G15" s="175">
        <f t="shared" si="6"/>
        <v>2.6111482885360289</v>
      </c>
      <c r="H15" s="177">
        <f>SUM(H14/H10*100)</f>
        <v>0.12487034251859905</v>
      </c>
      <c r="I15" s="178">
        <f>SUM(I14/I10*100)</f>
        <v>38.275214417392299</v>
      </c>
      <c r="J15" s="175">
        <f t="shared" si="6"/>
        <v>27.169853405556054</v>
      </c>
      <c r="K15" s="151">
        <f t="shared" si="6"/>
        <v>36.809241404077106</v>
      </c>
      <c r="L15" s="151">
        <f t="shared" si="6"/>
        <v>40.345691893914413</v>
      </c>
      <c r="M15" s="151">
        <f>SUM(M14/M10*100)</f>
        <v>17.564253990981371</v>
      </c>
      <c r="P15" s="166"/>
    </row>
    <row r="16" spans="1:16" ht="25.2" thickBot="1" x14ac:dyDescent="0.75">
      <c r="A16" s="179"/>
      <c r="B16" s="180"/>
      <c r="C16" s="181"/>
      <c r="D16" s="182"/>
      <c r="E16" s="183"/>
      <c r="F16" s="184"/>
      <c r="G16" s="185"/>
      <c r="H16" s="186"/>
      <c r="I16" s="184"/>
      <c r="J16" s="185"/>
      <c r="K16" s="187"/>
      <c r="L16" s="187"/>
      <c r="M16" s="188"/>
    </row>
    <row r="17" spans="1:13" x14ac:dyDescent="0.7">
      <c r="A17" s="189"/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</row>
    <row r="18" spans="1:13" x14ac:dyDescent="0.7">
      <c r="A18" s="189"/>
      <c r="B18" s="191" t="s">
        <v>45</v>
      </c>
      <c r="C18" s="190"/>
      <c r="D18" s="190"/>
      <c r="E18" s="190"/>
      <c r="F18" s="192"/>
      <c r="G18" s="192"/>
      <c r="H18" s="192"/>
      <c r="L18" s="190"/>
    </row>
    <row r="19" spans="1:13" x14ac:dyDescent="0.7">
      <c r="A19" s="189"/>
      <c r="B19" s="193" t="s">
        <v>46</v>
      </c>
      <c r="C19" s="190"/>
      <c r="D19" s="190"/>
      <c r="E19" s="190"/>
      <c r="F19" s="190"/>
      <c r="G19" s="190"/>
      <c r="H19" s="190"/>
      <c r="L19" s="190"/>
    </row>
    <row r="20" spans="1:13" x14ac:dyDescent="0.7">
      <c r="A20" s="189"/>
      <c r="B20" s="193" t="s">
        <v>47</v>
      </c>
      <c r="C20" s="190"/>
      <c r="D20" s="190"/>
      <c r="F20" s="190"/>
      <c r="G20" s="190"/>
      <c r="H20" s="190"/>
      <c r="L20" s="190"/>
    </row>
    <row r="21" spans="1:13" x14ac:dyDescent="0.7">
      <c r="A21" s="189"/>
      <c r="B21" s="193" t="s">
        <v>48</v>
      </c>
      <c r="F21" s="190"/>
      <c r="G21" s="190"/>
      <c r="H21" s="190"/>
      <c r="L21" s="190"/>
    </row>
    <row r="22" spans="1:13" x14ac:dyDescent="0.7">
      <c r="A22" s="189"/>
      <c r="B22" s="193" t="s">
        <v>44</v>
      </c>
      <c r="F22" s="190"/>
      <c r="G22" s="190"/>
      <c r="H22" s="190"/>
      <c r="L22" s="190"/>
    </row>
    <row r="23" spans="1:13" x14ac:dyDescent="0.7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</row>
  </sheetData>
  <mergeCells count="9">
    <mergeCell ref="A1:M1"/>
    <mergeCell ref="A2:M2"/>
    <mergeCell ref="F4:F5"/>
    <mergeCell ref="C4:C5"/>
    <mergeCell ref="K4:K5"/>
    <mergeCell ref="L4:L5"/>
    <mergeCell ref="H4:I4"/>
    <mergeCell ref="A4:A5"/>
    <mergeCell ref="M4:M5"/>
  </mergeCells>
  <pageMargins left="0.33" right="0.25" top="0.59055118110236227" bottom="0.59055118110236227" header="0.51181102362204722" footer="0.51181102362204722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B0CB3-E786-4925-AEE9-D2B645E80F15}">
  <sheetPr>
    <tabColor theme="6" tint="-0.249977111117893"/>
  </sheetPr>
  <dimension ref="A1:K187"/>
  <sheetViews>
    <sheetView view="pageBreakPreview" topLeftCell="A115" zoomScale="120" zoomScaleNormal="87" zoomScaleSheetLayoutView="120" workbookViewId="0">
      <selection activeCell="K186" sqref="K186"/>
    </sheetView>
  </sheetViews>
  <sheetFormatPr defaultColWidth="11.125" defaultRowHeight="21" customHeight="1" x14ac:dyDescent="0.6"/>
  <cols>
    <col min="1" max="1" width="30" style="196" customWidth="1"/>
    <col min="2" max="4" width="18.125" style="218" customWidth="1"/>
    <col min="5" max="5" width="18.125" style="218" hidden="1" customWidth="1"/>
    <col min="6" max="8" width="18.125" style="218" customWidth="1"/>
    <col min="9" max="9" width="18.125" style="218" hidden="1" customWidth="1"/>
    <col min="10" max="10" width="18.125" style="218" customWidth="1"/>
    <col min="11" max="11" width="13.875" style="195" customWidth="1"/>
    <col min="12" max="13" width="13.875" style="196" customWidth="1"/>
    <col min="14" max="16384" width="11.125" style="196"/>
  </cols>
  <sheetData>
    <row r="1" spans="1:10" ht="21" customHeight="1" x14ac:dyDescent="0.6">
      <c r="A1" s="194" t="s">
        <v>24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ht="21" customHeight="1" x14ac:dyDescent="0.6">
      <c r="A2" s="194" t="s">
        <v>78</v>
      </c>
      <c r="B2" s="194"/>
      <c r="C2" s="194"/>
      <c r="D2" s="194"/>
      <c r="E2" s="194"/>
      <c r="F2" s="194"/>
      <c r="G2" s="194"/>
      <c r="H2" s="194"/>
      <c r="I2" s="194"/>
      <c r="J2" s="194"/>
    </row>
    <row r="3" spans="1:10" ht="21" customHeight="1" x14ac:dyDescent="0.6">
      <c r="A3" s="194" t="s">
        <v>79</v>
      </c>
      <c r="B3" s="194"/>
      <c r="C3" s="194"/>
      <c r="D3" s="194"/>
      <c r="E3" s="194"/>
      <c r="F3" s="194"/>
      <c r="G3" s="194"/>
      <c r="H3" s="194"/>
      <c r="I3" s="194"/>
      <c r="J3" s="194"/>
    </row>
    <row r="4" spans="1:10" ht="21" customHeight="1" x14ac:dyDescent="0.6">
      <c r="A4" s="197" t="s">
        <v>90</v>
      </c>
      <c r="B4" s="197"/>
      <c r="C4" s="197"/>
      <c r="D4" s="197"/>
      <c r="E4" s="197"/>
      <c r="F4" s="197"/>
      <c r="G4" s="197"/>
      <c r="H4" s="197"/>
      <c r="I4" s="197"/>
      <c r="J4" s="197"/>
    </row>
    <row r="5" spans="1:10" s="195" customFormat="1" ht="33" customHeight="1" x14ac:dyDescent="0.6">
      <c r="A5" s="198" t="s">
        <v>50</v>
      </c>
      <c r="B5" s="199" t="s">
        <v>91</v>
      </c>
      <c r="C5" s="199" t="s">
        <v>92</v>
      </c>
      <c r="D5" s="199" t="s">
        <v>96</v>
      </c>
      <c r="E5" s="199" t="s">
        <v>97</v>
      </c>
      <c r="F5" s="199" t="s">
        <v>93</v>
      </c>
      <c r="G5" s="199" t="s">
        <v>94</v>
      </c>
      <c r="H5" s="199" t="s">
        <v>95</v>
      </c>
      <c r="I5" s="199" t="s">
        <v>31</v>
      </c>
      <c r="J5" s="200" t="s">
        <v>6</v>
      </c>
    </row>
    <row r="6" spans="1:10" ht="19.95" customHeight="1" x14ac:dyDescent="0.6">
      <c r="A6" s="201" t="s">
        <v>10</v>
      </c>
      <c r="B6" s="202"/>
      <c r="C6" s="202"/>
      <c r="D6" s="202"/>
      <c r="E6" s="203"/>
      <c r="F6" s="202"/>
      <c r="G6" s="202"/>
      <c r="H6" s="202"/>
      <c r="I6" s="203"/>
      <c r="J6" s="202"/>
    </row>
    <row r="7" spans="1:10" ht="19.95" customHeight="1" x14ac:dyDescent="0.6">
      <c r="A7" s="204" t="s">
        <v>59</v>
      </c>
      <c r="B7" s="205">
        <f>B24+B41+B58+B75+B92+B109+B126+B143+B160+B177</f>
        <v>9758438.3199999984</v>
      </c>
      <c r="C7" s="205">
        <f>C24+C41+C58+C75+C92+C109+C126+C143+C160+C177</f>
        <v>9720030</v>
      </c>
      <c r="D7" s="205">
        <f>D24+D41+D58+D75+D92+D109+D126+D143+D160+D177</f>
        <v>10847668</v>
      </c>
      <c r="E7" s="205">
        <f>E24+E41+E58+E75+E92+E109+E126+E143+E160+E177</f>
        <v>0</v>
      </c>
      <c r="F7" s="205">
        <f>F24+F41+F58+F75+F92+F109+F126+F143+F160+F177</f>
        <v>10408415</v>
      </c>
      <c r="G7" s="205">
        <f>G24+G41+G58+G75+G92+G109+G126+G143+G160+G177</f>
        <v>17947304.25</v>
      </c>
      <c r="H7" s="205">
        <f>H24+H41+H58+H75+H92+H109+H126+H143+H160+H177</f>
        <v>2563711.5300000003</v>
      </c>
      <c r="I7" s="206"/>
      <c r="J7" s="207">
        <f>B7+C7+D7+F7+G7+H7</f>
        <v>61245567.100000001</v>
      </c>
    </row>
    <row r="8" spans="1:10" ht="19.95" customHeight="1" x14ac:dyDescent="0.6">
      <c r="A8" s="204" t="s">
        <v>32</v>
      </c>
      <c r="B8" s="205">
        <f>B25+B42+B59+B76+B93+B110+B127+B144+B161+B178</f>
        <v>2636798.67</v>
      </c>
      <c r="C8" s="205">
        <f>C25+C42+C59+C76+C93+C110+C127+C144+C161+C178</f>
        <v>2524457.2999999998</v>
      </c>
      <c r="D8" s="205">
        <f>D25+D42+D59+D76+D93+D110+D127+D144+D161+D178</f>
        <v>2449757.96</v>
      </c>
      <c r="E8" s="206"/>
      <c r="F8" s="205">
        <f>F25+F42+F59+F76+F93+F110+F127+F144+F161+F178</f>
        <v>2516171.58</v>
      </c>
      <c r="G8" s="205">
        <f>G25+G42+G59+G76+G93+G110+G127+G144+G161+G178</f>
        <v>4684972.1300000008</v>
      </c>
      <c r="H8" s="205">
        <f>H25+H42+H59+H76+H93+H110+H127+H144+H161+H178</f>
        <v>563069.54</v>
      </c>
      <c r="I8" s="206"/>
      <c r="J8" s="207">
        <f>SUM(B8:H8)</f>
        <v>15375227.18</v>
      </c>
    </row>
    <row r="9" spans="1:10" ht="19.95" customHeight="1" x14ac:dyDescent="0.6">
      <c r="A9" s="204" t="s">
        <v>33</v>
      </c>
      <c r="B9" s="205">
        <f>B26+B43+B60+B77+B94+B111+B128+B145+B162+B179</f>
        <v>6496642.1499999994</v>
      </c>
      <c r="C9" s="205">
        <f>C26+C43+C60+C77+C94+C111+C128+C145+C162+C179</f>
        <v>5128565.45</v>
      </c>
      <c r="D9" s="205">
        <f>D26+D43+D60+D77+D94+D111+D128+D145+D162+D179</f>
        <v>10649560.41</v>
      </c>
      <c r="E9" s="206"/>
      <c r="F9" s="205">
        <f>F26+F43+F60+F77+F94+F111+F128+F145+F162+F179</f>
        <v>8425697.8900000006</v>
      </c>
      <c r="G9" s="205">
        <f>G26+G43+G60+G77+G94+G111+G128+G145+G162+G179</f>
        <v>8905740.0700000003</v>
      </c>
      <c r="H9" s="205">
        <f>H26+H43+H60+H77+H94+H111+H128+H145+H162+H179</f>
        <v>12308368.079999998</v>
      </c>
      <c r="I9" s="206"/>
      <c r="J9" s="207">
        <f>SUM(B9:H9)</f>
        <v>51914574.049999997</v>
      </c>
    </row>
    <row r="10" spans="1:10" ht="19.95" customHeight="1" x14ac:dyDescent="0.6">
      <c r="A10" s="204" t="s">
        <v>34</v>
      </c>
      <c r="B10" s="205">
        <f>B27+B44+B61+B78+B95+B112+B129+B146+B163+B180</f>
        <v>995647.90999999992</v>
      </c>
      <c r="C10" s="205">
        <f>C27+C44+C61+C78+C95+C112+C129+C146+C163+C180</f>
        <v>757018.91000000015</v>
      </c>
      <c r="D10" s="205">
        <f>D27+D44+D61+D78+D95+D112+D129+D146+D163+D180</f>
        <v>577919.39</v>
      </c>
      <c r="E10" s="206"/>
      <c r="F10" s="205">
        <f>F27+F44+F61+F78+F95+F112+F129+F146+F163+F180</f>
        <v>726489.41</v>
      </c>
      <c r="G10" s="205">
        <f>G27+G44+G61+G78+G95+G112+G129+G146+G163+G180</f>
        <v>567046.30000000005</v>
      </c>
      <c r="H10" s="205">
        <f>H27+H44+H61+H78+H95+H112+H129+H146+H163+H180</f>
        <v>315124.12999999995</v>
      </c>
      <c r="I10" s="206"/>
      <c r="J10" s="207">
        <f>SUM(B10:H10)</f>
        <v>3939246.05</v>
      </c>
    </row>
    <row r="11" spans="1:10" ht="19.95" customHeight="1" x14ac:dyDescent="0.6">
      <c r="A11" s="204" t="s">
        <v>35</v>
      </c>
      <c r="B11" s="205">
        <f>B28+B45+B62+B79+B96+B113+B130+B147+B164+B181</f>
        <v>784000</v>
      </c>
      <c r="C11" s="205">
        <f>C28+C45+C62+C79+C96+C113+C130+C147+C164+C181</f>
        <v>0</v>
      </c>
      <c r="D11" s="205">
        <f>D28+D45+D62+D79+D96+D113+D130+D147+D164+D181</f>
        <v>1830000</v>
      </c>
      <c r="E11" s="206"/>
      <c r="F11" s="205">
        <f>F28+F45+F62+F79+F96+F113+F130+F147+F164+F181</f>
        <v>20191301</v>
      </c>
      <c r="G11" s="205">
        <f>G28+G45+G62+G79+G96+G113+G130+G147+G164+G181</f>
        <v>1607800</v>
      </c>
      <c r="H11" s="205">
        <f>H28+H45+H62+H79+H96+H113+H130+H147+H164+H181</f>
        <v>3526947</v>
      </c>
      <c r="I11" s="206"/>
      <c r="J11" s="207">
        <f>SUM(B11:H11)</f>
        <v>27940048</v>
      </c>
    </row>
    <row r="12" spans="1:10" ht="19.95" customHeight="1" x14ac:dyDescent="0.6">
      <c r="A12" s="204" t="s">
        <v>36</v>
      </c>
      <c r="B12" s="205">
        <f>B29+B46+B63+B80+B97+B114+B131+B148+B165+B182</f>
        <v>0</v>
      </c>
      <c r="C12" s="205">
        <f>C29+C46+C63+C80+C97+C114+C131+C148+C165+C182</f>
        <v>3068800</v>
      </c>
      <c r="D12" s="205">
        <f>D29+D46+D63+D80+D97+D114+D131+D148+D165+D182</f>
        <v>7519788.7000000002</v>
      </c>
      <c r="E12" s="206"/>
      <c r="F12" s="205">
        <f>F29+F46+F63+F80+F97+F114+F131+F148+F165+F182</f>
        <v>1350000</v>
      </c>
      <c r="G12" s="205">
        <f>G29+G46+G63+G80+G97+G114+G131+G148+G165+G182</f>
        <v>3407700</v>
      </c>
      <c r="H12" s="205">
        <f>H29+H46+H63+H80+H97+H114+H131+H148+H165+H182</f>
        <v>30441000.659999996</v>
      </c>
      <c r="I12" s="206"/>
      <c r="J12" s="207">
        <f t="shared" ref="J12" si="0">SUM(B12:H12)</f>
        <v>45787289.359999999</v>
      </c>
    </row>
    <row r="13" spans="1:10" ht="19.95" customHeight="1" x14ac:dyDescent="0.6">
      <c r="A13" s="208" t="s">
        <v>85</v>
      </c>
      <c r="B13" s="205">
        <f>B30+B47+B64+B81+B98+B115+B132+B149+B166+B183</f>
        <v>2132555</v>
      </c>
      <c r="C13" s="205">
        <f>C30+C47+C64+C81+C98+C115+C132+C149+C166+C183</f>
        <v>434729.9</v>
      </c>
      <c r="D13" s="205">
        <f>D30+D47+D64+D81+D98+D115+D132+D149+D166+D183</f>
        <v>951654</v>
      </c>
      <c r="E13" s="206"/>
      <c r="F13" s="205">
        <f>F30+F47+F64+F81+F98+F115+F132+F149+F166+F183</f>
        <v>1116570</v>
      </c>
      <c r="G13" s="205">
        <f>G30+G47+G64+G81+G98+G115+G132+G149+G166+G183</f>
        <v>2889692</v>
      </c>
      <c r="H13" s="205">
        <f>H30+H47+H64+H81+H98+H115+H132+H149+H166+H183</f>
        <v>5549282</v>
      </c>
      <c r="I13" s="206"/>
      <c r="J13" s="207">
        <f>SUM(B13:H13)</f>
        <v>13074482.9</v>
      </c>
    </row>
    <row r="14" spans="1:10" ht="19.95" customHeight="1" x14ac:dyDescent="0.6">
      <c r="A14" s="209" t="s">
        <v>86</v>
      </c>
      <c r="B14" s="205">
        <f>B31+B48+B65+B82+B99+B116+B133+B150+B167+B184</f>
        <v>933729.81</v>
      </c>
      <c r="C14" s="205">
        <f>C31+C48+C65+C82+C99+C116+C133+C150+C167+C184</f>
        <v>864714.66999999993</v>
      </c>
      <c r="D14" s="205">
        <f>D31+D48+D65+D82+D99+D116+D133+D150+D167+D184</f>
        <v>1002304.3200000001</v>
      </c>
      <c r="E14" s="210"/>
      <c r="F14" s="205">
        <f>F31+F48+F65+F82+F99+F116+F133+F150+F167+F184</f>
        <v>578106.53</v>
      </c>
      <c r="G14" s="205">
        <f>G31+G48+G65+G82+G99+G116+G133+G150+G167+G184</f>
        <v>996604.09000000008</v>
      </c>
      <c r="H14" s="205">
        <f>H31+H48+H65+H82+H99+H116+H133+H150+H167+H184</f>
        <v>4865602.46</v>
      </c>
      <c r="I14" s="210"/>
      <c r="J14" s="207">
        <f>SUM(B14:H14)</f>
        <v>9241061.879999999</v>
      </c>
    </row>
    <row r="15" spans="1:10" ht="19.95" customHeight="1" thickBot="1" x14ac:dyDescent="0.65">
      <c r="A15" s="211" t="s">
        <v>37</v>
      </c>
      <c r="B15" s="212">
        <f>SUM(B7:B14)</f>
        <v>23737811.859999996</v>
      </c>
      <c r="C15" s="212">
        <f t="shared" ref="C15:I15" si="1">SUM(C7:C14)</f>
        <v>22498316.229999997</v>
      </c>
      <c r="D15" s="212">
        <f t="shared" si="1"/>
        <v>35828652.780000001</v>
      </c>
      <c r="E15" s="212">
        <f t="shared" si="1"/>
        <v>0</v>
      </c>
      <c r="F15" s="212">
        <f t="shared" si="1"/>
        <v>45312751.409999996</v>
      </c>
      <c r="G15" s="212">
        <f t="shared" si="1"/>
        <v>41006858.840000004</v>
      </c>
      <c r="H15" s="212">
        <f>SUM(H7:H14)</f>
        <v>60133105.399999999</v>
      </c>
      <c r="I15" s="212">
        <f t="shared" si="1"/>
        <v>0</v>
      </c>
      <c r="J15" s="212">
        <f>SUM(J7:J14)</f>
        <v>228517496.52000001</v>
      </c>
    </row>
    <row r="16" spans="1:10" ht="19.95" customHeight="1" thickTop="1" x14ac:dyDescent="0.6">
      <c r="A16" s="213" t="s">
        <v>27</v>
      </c>
      <c r="B16" s="214">
        <v>0</v>
      </c>
      <c r="C16" s="214">
        <v>0</v>
      </c>
      <c r="D16" s="214">
        <v>0</v>
      </c>
      <c r="E16" s="214">
        <v>0</v>
      </c>
      <c r="F16" s="214">
        <v>0</v>
      </c>
      <c r="G16" s="214">
        <v>0</v>
      </c>
      <c r="H16" s="214">
        <v>0</v>
      </c>
      <c r="I16" s="214">
        <v>0</v>
      </c>
      <c r="J16" s="214">
        <v>0</v>
      </c>
    </row>
    <row r="17" spans="1:10" ht="19.95" customHeight="1" x14ac:dyDescent="0.6">
      <c r="A17" s="211" t="s">
        <v>6</v>
      </c>
      <c r="B17" s="215">
        <f>SUM(B15:B16)</f>
        <v>23737811.859999996</v>
      </c>
      <c r="C17" s="215">
        <f t="shared" ref="C17:I17" si="2">SUM(C15:C16)</f>
        <v>22498316.229999997</v>
      </c>
      <c r="D17" s="215">
        <f t="shared" si="2"/>
        <v>35828652.780000001</v>
      </c>
      <c r="E17" s="216">
        <f t="shared" si="2"/>
        <v>0</v>
      </c>
      <c r="F17" s="215">
        <f t="shared" si="2"/>
        <v>45312751.409999996</v>
      </c>
      <c r="G17" s="215">
        <f t="shared" si="2"/>
        <v>41006858.840000004</v>
      </c>
      <c r="H17" s="215">
        <f t="shared" si="2"/>
        <v>60133105.399999999</v>
      </c>
      <c r="I17" s="216">
        <f t="shared" si="2"/>
        <v>0</v>
      </c>
      <c r="J17" s="215">
        <f>SUM(J15:J16)</f>
        <v>228517496.52000001</v>
      </c>
    </row>
    <row r="19" spans="1:10" ht="21" customHeight="1" x14ac:dyDescent="0.6">
      <c r="A19" s="194" t="s">
        <v>78</v>
      </c>
      <c r="B19" s="194"/>
      <c r="C19" s="194"/>
      <c r="D19" s="194"/>
      <c r="E19" s="194"/>
      <c r="F19" s="194"/>
      <c r="G19" s="194"/>
      <c r="H19" s="194"/>
      <c r="I19" s="194"/>
      <c r="J19" s="194"/>
    </row>
    <row r="20" spans="1:10" ht="21" customHeight="1" x14ac:dyDescent="0.6">
      <c r="A20" s="194" t="s">
        <v>23</v>
      </c>
      <c r="B20" s="194"/>
      <c r="C20" s="194"/>
      <c r="D20" s="194"/>
      <c r="E20" s="194"/>
      <c r="F20" s="194"/>
      <c r="G20" s="194"/>
      <c r="H20" s="194"/>
      <c r="I20" s="194"/>
      <c r="J20" s="194"/>
    </row>
    <row r="21" spans="1:10" ht="21" customHeight="1" x14ac:dyDescent="0.6">
      <c r="A21" s="197" t="s">
        <v>90</v>
      </c>
      <c r="B21" s="197"/>
      <c r="C21" s="197"/>
      <c r="D21" s="197"/>
      <c r="E21" s="197"/>
      <c r="F21" s="197"/>
      <c r="G21" s="197"/>
      <c r="H21" s="197"/>
      <c r="I21" s="197"/>
      <c r="J21" s="197"/>
    </row>
    <row r="22" spans="1:10" s="195" customFormat="1" ht="33" customHeight="1" x14ac:dyDescent="0.6">
      <c r="A22" s="198" t="s">
        <v>50</v>
      </c>
      <c r="B22" s="199" t="s">
        <v>91</v>
      </c>
      <c r="C22" s="199" t="s">
        <v>92</v>
      </c>
      <c r="D22" s="199" t="s">
        <v>96</v>
      </c>
      <c r="E22" s="199" t="s">
        <v>30</v>
      </c>
      <c r="F22" s="199" t="s">
        <v>93</v>
      </c>
      <c r="G22" s="199" t="s">
        <v>94</v>
      </c>
      <c r="H22" s="199" t="s">
        <v>95</v>
      </c>
      <c r="I22" s="199" t="s">
        <v>31</v>
      </c>
      <c r="J22" s="200" t="s">
        <v>6</v>
      </c>
    </row>
    <row r="23" spans="1:10" ht="19.95" customHeight="1" x14ac:dyDescent="0.6">
      <c r="A23" s="201" t="s">
        <v>10</v>
      </c>
      <c r="B23" s="202"/>
      <c r="C23" s="202"/>
      <c r="D23" s="202"/>
      <c r="E23" s="203"/>
      <c r="F23" s="202"/>
      <c r="G23" s="202"/>
      <c r="H23" s="202"/>
      <c r="I23" s="203"/>
      <c r="J23" s="202"/>
    </row>
    <row r="24" spans="1:10" ht="19.95" customHeight="1" x14ac:dyDescent="0.6">
      <c r="A24" s="204" t="s">
        <v>59</v>
      </c>
      <c r="B24" s="205">
        <v>753140.97</v>
      </c>
      <c r="C24" s="205">
        <v>752810</v>
      </c>
      <c r="D24" s="205">
        <v>865853.87</v>
      </c>
      <c r="E24" s="206"/>
      <c r="F24" s="205">
        <v>839430</v>
      </c>
      <c r="G24" s="205">
        <v>1629530</v>
      </c>
      <c r="H24" s="205">
        <v>0</v>
      </c>
      <c r="I24" s="206">
        <f t="shared" ref="I24:I31" si="3">F24+G24+H24</f>
        <v>2468960</v>
      </c>
      <c r="J24" s="207">
        <f>B24+C24+D24+F24+G24</f>
        <v>4840764.84</v>
      </c>
    </row>
    <row r="25" spans="1:10" ht="19.95" customHeight="1" x14ac:dyDescent="0.6">
      <c r="A25" s="204" t="s">
        <v>32</v>
      </c>
      <c r="B25" s="205">
        <v>12000</v>
      </c>
      <c r="C25" s="205">
        <v>12000</v>
      </c>
      <c r="D25" s="205">
        <v>12000</v>
      </c>
      <c r="E25" s="206">
        <f t="shared" ref="E25:E30" si="4">B25+C25+D25</f>
        <v>36000</v>
      </c>
      <c r="F25" s="205">
        <v>11611.77</v>
      </c>
      <c r="G25" s="205">
        <v>12000</v>
      </c>
      <c r="H25" s="205">
        <v>12000</v>
      </c>
      <c r="I25" s="206">
        <f t="shared" si="3"/>
        <v>35611.770000000004</v>
      </c>
      <c r="J25" s="207">
        <f>B25+C25+D25+F25+G25+H25</f>
        <v>71611.77</v>
      </c>
    </row>
    <row r="26" spans="1:10" ht="19.95" customHeight="1" x14ac:dyDescent="0.6">
      <c r="A26" s="204" t="s">
        <v>33</v>
      </c>
      <c r="B26" s="205">
        <v>401041.67</v>
      </c>
      <c r="C26" s="205">
        <v>364181.67</v>
      </c>
      <c r="D26" s="205">
        <v>516374.67</v>
      </c>
      <c r="E26" s="206">
        <f t="shared" si="4"/>
        <v>1281598.01</v>
      </c>
      <c r="F26" s="205">
        <v>329721.67</v>
      </c>
      <c r="G26" s="205">
        <v>528879.67000000004</v>
      </c>
      <c r="H26" s="205">
        <v>2340652.46</v>
      </c>
      <c r="I26" s="206">
        <f t="shared" si="3"/>
        <v>3199253.8</v>
      </c>
      <c r="J26" s="207">
        <f>B26+C26+D26+F26+G26+H26</f>
        <v>4480851.8100000005</v>
      </c>
    </row>
    <row r="27" spans="1:10" ht="19.95" customHeight="1" x14ac:dyDescent="0.6">
      <c r="A27" s="204" t="s">
        <v>34</v>
      </c>
      <c r="B27" s="205">
        <v>319800.03999999998</v>
      </c>
      <c r="C27" s="205">
        <v>695094.67</v>
      </c>
      <c r="D27" s="205">
        <v>0</v>
      </c>
      <c r="E27" s="206">
        <f t="shared" si="4"/>
        <v>1014894.71</v>
      </c>
      <c r="F27" s="205">
        <v>650297.89</v>
      </c>
      <c r="G27" s="205">
        <v>427640.57</v>
      </c>
      <c r="H27" s="205">
        <v>149182.84</v>
      </c>
      <c r="I27" s="206">
        <f t="shared" si="3"/>
        <v>1227121.3</v>
      </c>
      <c r="J27" s="207">
        <f t="shared" ref="J27:J28" si="5">B27+C27+D27+F27+G27+H27</f>
        <v>2242016.0100000002</v>
      </c>
    </row>
    <row r="28" spans="1:10" ht="19.95" customHeight="1" x14ac:dyDescent="0.6">
      <c r="A28" s="204" t="s">
        <v>35</v>
      </c>
      <c r="B28" s="205">
        <v>0</v>
      </c>
      <c r="C28" s="205">
        <v>0</v>
      </c>
      <c r="D28" s="205">
        <v>0</v>
      </c>
      <c r="E28" s="206">
        <f t="shared" si="4"/>
        <v>0</v>
      </c>
      <c r="F28" s="205">
        <v>0</v>
      </c>
      <c r="G28" s="205">
        <v>345000</v>
      </c>
      <c r="H28" s="205">
        <v>0</v>
      </c>
      <c r="I28" s="206">
        <f t="shared" si="3"/>
        <v>345000</v>
      </c>
      <c r="J28" s="207">
        <f t="shared" si="5"/>
        <v>345000</v>
      </c>
    </row>
    <row r="29" spans="1:10" ht="19.95" customHeight="1" x14ac:dyDescent="0.6">
      <c r="A29" s="204" t="s">
        <v>36</v>
      </c>
      <c r="B29" s="205">
        <v>0</v>
      </c>
      <c r="C29" s="205">
        <v>0</v>
      </c>
      <c r="D29" s="205">
        <v>0</v>
      </c>
      <c r="E29" s="206">
        <f t="shared" si="4"/>
        <v>0</v>
      </c>
      <c r="F29" s="205">
        <v>0</v>
      </c>
      <c r="G29" s="205">
        <v>0</v>
      </c>
      <c r="H29" s="205">
        <v>0</v>
      </c>
      <c r="I29" s="206">
        <f t="shared" si="3"/>
        <v>0</v>
      </c>
      <c r="J29" s="207">
        <f t="shared" ref="J29:J30" si="6">SUM(B29:I29)</f>
        <v>0</v>
      </c>
    </row>
    <row r="30" spans="1:10" ht="19.95" customHeight="1" x14ac:dyDescent="0.6">
      <c r="A30" s="208" t="s">
        <v>85</v>
      </c>
      <c r="B30" s="217">
        <v>0</v>
      </c>
      <c r="C30" s="217">
        <v>0</v>
      </c>
      <c r="D30" s="218">
        <v>0</v>
      </c>
      <c r="E30" s="206">
        <f t="shared" si="4"/>
        <v>0</v>
      </c>
      <c r="F30" s="217">
        <v>0</v>
      </c>
      <c r="G30" s="217">
        <v>0</v>
      </c>
      <c r="H30" s="217">
        <v>0</v>
      </c>
      <c r="I30" s="219">
        <f t="shared" si="3"/>
        <v>0</v>
      </c>
      <c r="J30" s="207">
        <f t="shared" si="6"/>
        <v>0</v>
      </c>
    </row>
    <row r="31" spans="1:10" ht="19.95" customHeight="1" x14ac:dyDescent="0.6">
      <c r="A31" s="209" t="s">
        <v>86</v>
      </c>
      <c r="B31" s="220">
        <v>0</v>
      </c>
      <c r="C31" s="220">
        <v>14600</v>
      </c>
      <c r="D31" s="205">
        <v>49500</v>
      </c>
      <c r="E31" s="219">
        <f>B31+C31+D31</f>
        <v>64100</v>
      </c>
      <c r="F31" s="205">
        <v>0</v>
      </c>
      <c r="G31" s="220">
        <v>0</v>
      </c>
      <c r="H31" s="220">
        <v>0</v>
      </c>
      <c r="I31" s="210">
        <f t="shared" si="3"/>
        <v>0</v>
      </c>
      <c r="J31" s="207">
        <f t="shared" ref="J31" si="7">B31+C31+D31+F31+G31+H31</f>
        <v>64100</v>
      </c>
    </row>
    <row r="32" spans="1:10" ht="19.95" customHeight="1" thickBot="1" x14ac:dyDescent="0.65">
      <c r="A32" s="211" t="s">
        <v>37</v>
      </c>
      <c r="B32" s="212">
        <f>SUM(B24:B31)</f>
        <v>1485982.68</v>
      </c>
      <c r="C32" s="212">
        <f t="shared" ref="C32" si="8">SUM(C24:C31)</f>
        <v>1838686.3399999999</v>
      </c>
      <c r="D32" s="212">
        <f>SUM(D24:D31)</f>
        <v>1443728.54</v>
      </c>
      <c r="E32" s="212">
        <f t="shared" ref="E32" si="9">SUM(E24:E31)</f>
        <v>2396592.7199999997</v>
      </c>
      <c r="F32" s="212">
        <f t="shared" ref="F32" si="10">SUM(F24:F31)</f>
        <v>1831061.33</v>
      </c>
      <c r="G32" s="212">
        <f>SUM(G24:G31)</f>
        <v>2943050.2399999998</v>
      </c>
      <c r="H32" s="212">
        <f t="shared" ref="H32" si="11">SUM(H24:H31)</f>
        <v>2501835.2999999998</v>
      </c>
      <c r="I32" s="212">
        <f t="shared" ref="I32" si="12">SUM(I24:I31)</f>
        <v>7275946.8700000001</v>
      </c>
      <c r="J32" s="212">
        <f>SUM(J24:J31)</f>
        <v>12044344.43</v>
      </c>
    </row>
    <row r="33" spans="1:10" ht="19.95" customHeight="1" thickTop="1" x14ac:dyDescent="0.6">
      <c r="A33" s="213" t="s">
        <v>27</v>
      </c>
      <c r="B33" s="214">
        <v>0</v>
      </c>
      <c r="C33" s="214">
        <v>0</v>
      </c>
      <c r="D33" s="214">
        <v>0</v>
      </c>
      <c r="E33" s="214">
        <v>0</v>
      </c>
      <c r="F33" s="214">
        <v>0</v>
      </c>
      <c r="G33" s="214">
        <v>0</v>
      </c>
      <c r="H33" s="214">
        <v>0</v>
      </c>
      <c r="I33" s="214">
        <v>0</v>
      </c>
      <c r="J33" s="214">
        <v>0</v>
      </c>
    </row>
    <row r="34" spans="1:10" ht="19.95" customHeight="1" x14ac:dyDescent="0.6">
      <c r="A34" s="211" t="s">
        <v>38</v>
      </c>
      <c r="B34" s="215">
        <f>SUM(B32:B33)</f>
        <v>1485982.68</v>
      </c>
      <c r="C34" s="215">
        <f t="shared" ref="C34:J34" si="13">SUM(C32:C33)</f>
        <v>1838686.3399999999</v>
      </c>
      <c r="D34" s="215">
        <f t="shared" si="13"/>
        <v>1443728.54</v>
      </c>
      <c r="E34" s="216">
        <f t="shared" si="13"/>
        <v>2396592.7199999997</v>
      </c>
      <c r="F34" s="215">
        <f t="shared" si="13"/>
        <v>1831061.33</v>
      </c>
      <c r="G34" s="215">
        <f t="shared" si="13"/>
        <v>2943050.2399999998</v>
      </c>
      <c r="H34" s="215">
        <f t="shared" si="13"/>
        <v>2501835.2999999998</v>
      </c>
      <c r="I34" s="216">
        <f t="shared" si="13"/>
        <v>7275946.8700000001</v>
      </c>
      <c r="J34" s="215">
        <f t="shared" si="13"/>
        <v>12044344.43</v>
      </c>
    </row>
    <row r="35" spans="1:10" ht="21" customHeight="1" x14ac:dyDescent="0.6">
      <c r="B35" s="221"/>
      <c r="C35" s="221"/>
      <c r="D35" s="221"/>
      <c r="E35" s="221"/>
      <c r="F35" s="221"/>
      <c r="G35" s="221"/>
      <c r="H35" s="221"/>
    </row>
    <row r="36" spans="1:10" ht="21" customHeight="1" x14ac:dyDescent="0.6">
      <c r="A36" s="194" t="s">
        <v>78</v>
      </c>
      <c r="B36" s="194"/>
      <c r="C36" s="194"/>
      <c r="D36" s="194"/>
      <c r="E36" s="194"/>
      <c r="F36" s="194"/>
      <c r="G36" s="194"/>
      <c r="H36" s="194"/>
      <c r="I36" s="194"/>
      <c r="J36" s="194"/>
    </row>
    <row r="37" spans="1:10" ht="21" customHeight="1" x14ac:dyDescent="0.6">
      <c r="A37" s="194" t="s">
        <v>63</v>
      </c>
      <c r="B37" s="194"/>
      <c r="C37" s="194"/>
      <c r="D37" s="194"/>
      <c r="E37" s="194"/>
      <c r="F37" s="194"/>
      <c r="G37" s="194"/>
      <c r="H37" s="194"/>
      <c r="I37" s="194"/>
      <c r="J37" s="194"/>
    </row>
    <row r="38" spans="1:10" ht="21" customHeight="1" x14ac:dyDescent="0.6">
      <c r="A38" s="197" t="s">
        <v>90</v>
      </c>
      <c r="B38" s="197"/>
      <c r="C38" s="197"/>
      <c r="D38" s="197"/>
      <c r="E38" s="197"/>
      <c r="F38" s="197"/>
      <c r="G38" s="197"/>
      <c r="H38" s="197"/>
      <c r="I38" s="197"/>
      <c r="J38" s="197"/>
    </row>
    <row r="39" spans="1:10" s="195" customFormat="1" ht="33" customHeight="1" x14ac:dyDescent="0.6">
      <c r="A39" s="198" t="s">
        <v>50</v>
      </c>
      <c r="B39" s="199" t="s">
        <v>91</v>
      </c>
      <c r="C39" s="199" t="s">
        <v>92</v>
      </c>
      <c r="D39" s="199" t="s">
        <v>96</v>
      </c>
      <c r="E39" s="199" t="s">
        <v>30</v>
      </c>
      <c r="F39" s="199" t="s">
        <v>93</v>
      </c>
      <c r="G39" s="199" t="s">
        <v>94</v>
      </c>
      <c r="H39" s="199" t="s">
        <v>95</v>
      </c>
      <c r="I39" s="199" t="s">
        <v>31</v>
      </c>
      <c r="J39" s="200" t="s">
        <v>6</v>
      </c>
    </row>
    <row r="40" spans="1:10" ht="19.95" customHeight="1" x14ac:dyDescent="0.6">
      <c r="A40" s="201" t="s">
        <v>10</v>
      </c>
      <c r="B40" s="202"/>
      <c r="C40" s="202"/>
      <c r="D40" s="202"/>
      <c r="E40" s="203"/>
      <c r="F40" s="202"/>
      <c r="G40" s="202"/>
      <c r="H40" s="202"/>
      <c r="I40" s="203"/>
      <c r="J40" s="202"/>
    </row>
    <row r="41" spans="1:10" ht="19.95" customHeight="1" x14ac:dyDescent="0.6">
      <c r="A41" s="204" t="s">
        <v>59</v>
      </c>
      <c r="B41" s="205">
        <v>527250</v>
      </c>
      <c r="C41" s="205">
        <v>527250</v>
      </c>
      <c r="D41" s="205">
        <v>561840</v>
      </c>
      <c r="E41" s="206"/>
      <c r="F41" s="205">
        <v>546880</v>
      </c>
      <c r="G41" s="205">
        <v>541480</v>
      </c>
      <c r="H41" s="205">
        <v>555849.13</v>
      </c>
      <c r="I41" s="206">
        <f t="shared" ref="I41:I48" si="14">F41+G41+H41</f>
        <v>1644209.13</v>
      </c>
      <c r="J41" s="207">
        <f>B41+C41+D41+F41+G41+H41</f>
        <v>3260549.13</v>
      </c>
    </row>
    <row r="42" spans="1:10" ht="19.95" customHeight="1" x14ac:dyDescent="0.6">
      <c r="A42" s="204" t="s">
        <v>32</v>
      </c>
      <c r="B42" s="205">
        <v>0</v>
      </c>
      <c r="C42" s="205">
        <v>0</v>
      </c>
      <c r="D42" s="205">
        <v>0</v>
      </c>
      <c r="E42" s="206">
        <f t="shared" ref="E42:E46" si="15">B42+C42+D42</f>
        <v>0</v>
      </c>
      <c r="F42" s="205">
        <v>0</v>
      </c>
      <c r="G42" s="205">
        <v>0</v>
      </c>
      <c r="H42" s="205">
        <v>0</v>
      </c>
      <c r="I42" s="206">
        <f t="shared" si="14"/>
        <v>0</v>
      </c>
      <c r="J42" s="207">
        <f t="shared" ref="J42:J48" si="16">B42+C42+D42+F42+G42+H42</f>
        <v>0</v>
      </c>
    </row>
    <row r="43" spans="1:10" ht="19.95" customHeight="1" x14ac:dyDescent="0.6">
      <c r="A43" s="204" t="s">
        <v>33</v>
      </c>
      <c r="B43" s="205">
        <v>125880</v>
      </c>
      <c r="C43" s="205">
        <v>56740</v>
      </c>
      <c r="D43" s="205">
        <v>63980</v>
      </c>
      <c r="E43" s="206">
        <f t="shared" si="15"/>
        <v>246600</v>
      </c>
      <c r="F43" s="205">
        <v>67420</v>
      </c>
      <c r="G43" s="205">
        <v>96454.5</v>
      </c>
      <c r="H43" s="205">
        <v>99280</v>
      </c>
      <c r="I43" s="206">
        <f t="shared" si="14"/>
        <v>263154.5</v>
      </c>
      <c r="J43" s="207">
        <f t="shared" si="16"/>
        <v>509754.5</v>
      </c>
    </row>
    <row r="44" spans="1:10" ht="19.95" customHeight="1" x14ac:dyDescent="0.6">
      <c r="A44" s="204" t="s">
        <v>34</v>
      </c>
      <c r="B44" s="205">
        <v>0</v>
      </c>
      <c r="C44" s="205">
        <v>0</v>
      </c>
      <c r="D44" s="205">
        <v>0</v>
      </c>
      <c r="E44" s="206">
        <f t="shared" si="15"/>
        <v>0</v>
      </c>
      <c r="F44" s="205">
        <v>0</v>
      </c>
      <c r="G44" s="205">
        <v>0</v>
      </c>
      <c r="H44" s="205">
        <v>0</v>
      </c>
      <c r="I44" s="206">
        <f t="shared" si="14"/>
        <v>0</v>
      </c>
      <c r="J44" s="207">
        <f t="shared" si="16"/>
        <v>0</v>
      </c>
    </row>
    <row r="45" spans="1:10" ht="19.95" customHeight="1" x14ac:dyDescent="0.6">
      <c r="A45" s="204" t="s">
        <v>35</v>
      </c>
      <c r="B45" s="205">
        <v>0</v>
      </c>
      <c r="C45" s="205">
        <v>0</v>
      </c>
      <c r="D45" s="205">
        <v>0</v>
      </c>
      <c r="E45" s="206">
        <f t="shared" si="15"/>
        <v>0</v>
      </c>
      <c r="F45" s="205">
        <v>0</v>
      </c>
      <c r="G45" s="205">
        <v>0</v>
      </c>
      <c r="H45" s="205">
        <v>0</v>
      </c>
      <c r="I45" s="206">
        <f t="shared" si="14"/>
        <v>0</v>
      </c>
      <c r="J45" s="207">
        <f t="shared" si="16"/>
        <v>0</v>
      </c>
    </row>
    <row r="46" spans="1:10" ht="19.95" customHeight="1" x14ac:dyDescent="0.6">
      <c r="A46" s="204" t="s">
        <v>36</v>
      </c>
      <c r="B46" s="205">
        <v>0</v>
      </c>
      <c r="C46" s="205">
        <v>0</v>
      </c>
      <c r="D46" s="205">
        <v>0</v>
      </c>
      <c r="E46" s="206">
        <f t="shared" si="15"/>
        <v>0</v>
      </c>
      <c r="F46" s="205">
        <v>0</v>
      </c>
      <c r="G46" s="205">
        <v>0</v>
      </c>
      <c r="H46" s="205">
        <v>0</v>
      </c>
      <c r="I46" s="206">
        <f t="shared" si="14"/>
        <v>0</v>
      </c>
      <c r="J46" s="207">
        <f t="shared" si="16"/>
        <v>0</v>
      </c>
    </row>
    <row r="47" spans="1:10" ht="19.95" customHeight="1" x14ac:dyDescent="0.6">
      <c r="A47" s="208" t="s">
        <v>85</v>
      </c>
      <c r="B47" s="217">
        <v>0</v>
      </c>
      <c r="C47" s="217">
        <v>0</v>
      </c>
      <c r="D47" s="218">
        <v>0</v>
      </c>
      <c r="E47" s="219">
        <f>B47+C47+D48</f>
        <v>0</v>
      </c>
      <c r="F47" s="217">
        <v>0</v>
      </c>
      <c r="G47" s="217">
        <v>0</v>
      </c>
      <c r="H47" s="217">
        <v>0</v>
      </c>
      <c r="I47" s="219">
        <f t="shared" si="14"/>
        <v>0</v>
      </c>
      <c r="J47" s="207">
        <f t="shared" si="16"/>
        <v>0</v>
      </c>
    </row>
    <row r="48" spans="1:10" ht="19.95" customHeight="1" x14ac:dyDescent="0.6">
      <c r="A48" s="209" t="s">
        <v>86</v>
      </c>
      <c r="B48" s="220">
        <v>0</v>
      </c>
      <c r="C48" s="220">
        <v>0</v>
      </c>
      <c r="D48" s="217">
        <v>0</v>
      </c>
      <c r="E48" s="210">
        <f>B48+C48+D48</f>
        <v>0</v>
      </c>
      <c r="F48" s="205">
        <v>0</v>
      </c>
      <c r="G48" s="220">
        <v>0</v>
      </c>
      <c r="H48" s="220">
        <v>0</v>
      </c>
      <c r="I48" s="210">
        <f t="shared" si="14"/>
        <v>0</v>
      </c>
      <c r="J48" s="207">
        <f t="shared" si="16"/>
        <v>0</v>
      </c>
    </row>
    <row r="49" spans="1:10" ht="19.95" customHeight="1" thickBot="1" x14ac:dyDescent="0.65">
      <c r="A49" s="211" t="s">
        <v>37</v>
      </c>
      <c r="B49" s="212">
        <f>SUM(B41:B48)</f>
        <v>653130</v>
      </c>
      <c r="C49" s="212">
        <f>SUM(C41:C48)</f>
        <v>583990</v>
      </c>
      <c r="D49" s="212">
        <f>SUM(D41:D48)</f>
        <v>625820</v>
      </c>
      <c r="E49" s="212">
        <f t="shared" ref="E49:I49" si="17">SUM(E41:E48)</f>
        <v>246600</v>
      </c>
      <c r="F49" s="212">
        <f t="shared" si="17"/>
        <v>614300</v>
      </c>
      <c r="G49" s="212">
        <f t="shared" si="17"/>
        <v>637934.5</v>
      </c>
      <c r="H49" s="212">
        <f t="shared" si="17"/>
        <v>655129.13</v>
      </c>
      <c r="I49" s="212">
        <f t="shared" si="17"/>
        <v>1907363.63</v>
      </c>
      <c r="J49" s="212">
        <f>SUM(J41:J48)</f>
        <v>3770303.63</v>
      </c>
    </row>
    <row r="50" spans="1:10" ht="19.95" customHeight="1" thickTop="1" x14ac:dyDescent="0.6">
      <c r="A50" s="213" t="s">
        <v>27</v>
      </c>
      <c r="B50" s="214">
        <v>0</v>
      </c>
      <c r="C50" s="214">
        <v>0</v>
      </c>
      <c r="D50" s="214">
        <v>0</v>
      </c>
      <c r="E50" s="214">
        <v>0</v>
      </c>
      <c r="F50" s="214">
        <v>0</v>
      </c>
      <c r="G50" s="214">
        <v>0</v>
      </c>
      <c r="H50" s="214">
        <v>0</v>
      </c>
      <c r="I50" s="214">
        <v>0</v>
      </c>
      <c r="J50" s="214">
        <v>0</v>
      </c>
    </row>
    <row r="51" spans="1:10" ht="19.95" customHeight="1" x14ac:dyDescent="0.6">
      <c r="A51" s="211" t="s">
        <v>6</v>
      </c>
      <c r="B51" s="215">
        <f>SUM(B49:B50)</f>
        <v>653130</v>
      </c>
      <c r="C51" s="215">
        <f t="shared" ref="C51:J51" si="18">SUM(C49:C50)</f>
        <v>583990</v>
      </c>
      <c r="D51" s="215">
        <f t="shared" si="18"/>
        <v>625820</v>
      </c>
      <c r="E51" s="216">
        <f t="shared" si="18"/>
        <v>246600</v>
      </c>
      <c r="F51" s="215">
        <f t="shared" si="18"/>
        <v>614300</v>
      </c>
      <c r="G51" s="215">
        <f t="shared" si="18"/>
        <v>637934.5</v>
      </c>
      <c r="H51" s="215">
        <f t="shared" si="18"/>
        <v>655129.13</v>
      </c>
      <c r="I51" s="216">
        <f t="shared" si="18"/>
        <v>1907363.63</v>
      </c>
      <c r="J51" s="215">
        <f t="shared" si="18"/>
        <v>3770303.63</v>
      </c>
    </row>
    <row r="53" spans="1:10" ht="21" customHeight="1" x14ac:dyDescent="0.6">
      <c r="A53" s="194" t="s">
        <v>78</v>
      </c>
      <c r="B53" s="194"/>
      <c r="C53" s="194"/>
      <c r="D53" s="194"/>
      <c r="E53" s="194"/>
      <c r="F53" s="194"/>
      <c r="G53" s="194"/>
      <c r="H53" s="194"/>
      <c r="I53" s="194"/>
      <c r="J53" s="194"/>
    </row>
    <row r="54" spans="1:10" ht="21" customHeight="1" x14ac:dyDescent="0.6">
      <c r="A54" s="194" t="s">
        <v>64</v>
      </c>
      <c r="B54" s="194"/>
      <c r="C54" s="194"/>
      <c r="D54" s="194"/>
      <c r="E54" s="194"/>
      <c r="F54" s="194"/>
      <c r="G54" s="194"/>
      <c r="H54" s="194"/>
      <c r="I54" s="194"/>
      <c r="J54" s="194"/>
    </row>
    <row r="55" spans="1:10" ht="21" customHeight="1" x14ac:dyDescent="0.6">
      <c r="A55" s="197" t="s">
        <v>90</v>
      </c>
      <c r="B55" s="197"/>
      <c r="C55" s="197"/>
      <c r="D55" s="197"/>
      <c r="E55" s="197"/>
      <c r="F55" s="197"/>
      <c r="G55" s="197"/>
      <c r="H55" s="197"/>
      <c r="I55" s="197"/>
      <c r="J55" s="197"/>
    </row>
    <row r="56" spans="1:10" s="195" customFormat="1" ht="33" customHeight="1" x14ac:dyDescent="0.6">
      <c r="A56" s="198" t="s">
        <v>50</v>
      </c>
      <c r="B56" s="199" t="s">
        <v>91</v>
      </c>
      <c r="C56" s="199" t="s">
        <v>92</v>
      </c>
      <c r="D56" s="199" t="s">
        <v>96</v>
      </c>
      <c r="E56" s="199" t="s">
        <v>97</v>
      </c>
      <c r="F56" s="199" t="s">
        <v>93</v>
      </c>
      <c r="G56" s="199" t="s">
        <v>94</v>
      </c>
      <c r="H56" s="199" t="s">
        <v>95</v>
      </c>
      <c r="I56" s="199" t="s">
        <v>31</v>
      </c>
      <c r="J56" s="200" t="s">
        <v>6</v>
      </c>
    </row>
    <row r="57" spans="1:10" ht="19.95" customHeight="1" x14ac:dyDescent="0.6">
      <c r="A57" s="201" t="s">
        <v>10</v>
      </c>
      <c r="B57" s="202"/>
      <c r="C57" s="202"/>
      <c r="D57" s="202"/>
      <c r="E57" s="203"/>
      <c r="F57" s="202"/>
      <c r="G57" s="202"/>
      <c r="H57" s="202"/>
      <c r="I57" s="203"/>
      <c r="J57" s="202"/>
    </row>
    <row r="58" spans="1:10" ht="19.95" customHeight="1" x14ac:dyDescent="0.6">
      <c r="A58" s="204" t="s">
        <v>59</v>
      </c>
      <c r="B58" s="205">
        <v>305707.14</v>
      </c>
      <c r="C58" s="205">
        <v>292260</v>
      </c>
      <c r="D58" s="205">
        <v>329913</v>
      </c>
      <c r="E58" s="206"/>
      <c r="F58" s="205">
        <v>320510</v>
      </c>
      <c r="G58" s="205">
        <v>619300</v>
      </c>
      <c r="H58" s="205">
        <v>14369.13</v>
      </c>
      <c r="I58" s="206">
        <f t="shared" ref="I58:I65" si="19">F58+G58+H58</f>
        <v>954179.13</v>
      </c>
      <c r="J58" s="207">
        <f>B58+C58+D58+F58+G58+H58</f>
        <v>1882059.27</v>
      </c>
    </row>
    <row r="59" spans="1:10" ht="19.95" customHeight="1" x14ac:dyDescent="0.6">
      <c r="A59" s="204" t="s">
        <v>32</v>
      </c>
      <c r="B59" s="205">
        <v>0</v>
      </c>
      <c r="C59" s="205">
        <v>0</v>
      </c>
      <c r="D59" s="205">
        <v>0</v>
      </c>
      <c r="E59" s="206">
        <f t="shared" ref="E59:E63" si="20">B59+C59+D59</f>
        <v>0</v>
      </c>
      <c r="F59" s="205">
        <v>0</v>
      </c>
      <c r="G59" s="205">
        <v>0</v>
      </c>
      <c r="H59" s="205">
        <v>0</v>
      </c>
      <c r="I59" s="206">
        <f t="shared" si="19"/>
        <v>0</v>
      </c>
      <c r="J59" s="207">
        <f t="shared" ref="J59:J65" si="21">B59+C59+D59+F59+G59+H59</f>
        <v>0</v>
      </c>
    </row>
    <row r="60" spans="1:10" ht="19.95" customHeight="1" x14ac:dyDescent="0.6">
      <c r="A60" s="204" t="s">
        <v>33</v>
      </c>
      <c r="B60" s="205">
        <v>64840</v>
      </c>
      <c r="C60" s="205">
        <v>30000</v>
      </c>
      <c r="D60" s="205">
        <v>32400</v>
      </c>
      <c r="E60" s="206">
        <f t="shared" si="20"/>
        <v>127240</v>
      </c>
      <c r="F60" s="205">
        <v>31910</v>
      </c>
      <c r="G60" s="205">
        <v>32860</v>
      </c>
      <c r="H60" s="205">
        <v>195396</v>
      </c>
      <c r="I60" s="206">
        <f t="shared" si="19"/>
        <v>260166</v>
      </c>
      <c r="J60" s="207">
        <f t="shared" si="21"/>
        <v>387406</v>
      </c>
    </row>
    <row r="61" spans="1:10" ht="19.95" customHeight="1" x14ac:dyDescent="0.6">
      <c r="A61" s="204" t="s">
        <v>34</v>
      </c>
      <c r="B61" s="205">
        <v>14000</v>
      </c>
      <c r="C61" s="205">
        <v>13022.06</v>
      </c>
      <c r="D61" s="205">
        <v>4009.24</v>
      </c>
      <c r="E61" s="206">
        <f t="shared" si="20"/>
        <v>31031.299999999996</v>
      </c>
      <c r="F61" s="205">
        <v>3920.81</v>
      </c>
      <c r="G61" s="205">
        <v>52389.33</v>
      </c>
      <c r="H61" s="205">
        <v>3930.25</v>
      </c>
      <c r="I61" s="206">
        <f t="shared" si="19"/>
        <v>60240.39</v>
      </c>
      <c r="J61" s="207">
        <f t="shared" si="21"/>
        <v>91271.69</v>
      </c>
    </row>
    <row r="62" spans="1:10" ht="19.95" customHeight="1" x14ac:dyDescent="0.6">
      <c r="A62" s="204" t="s">
        <v>35</v>
      </c>
      <c r="B62" s="205">
        <v>0</v>
      </c>
      <c r="C62" s="205">
        <v>0</v>
      </c>
      <c r="D62" s="205">
        <v>0</v>
      </c>
      <c r="E62" s="206">
        <f t="shared" si="20"/>
        <v>0</v>
      </c>
      <c r="F62" s="205">
        <v>0</v>
      </c>
      <c r="G62" s="205">
        <v>0</v>
      </c>
      <c r="H62" s="205">
        <v>341900</v>
      </c>
      <c r="I62" s="206">
        <f t="shared" si="19"/>
        <v>341900</v>
      </c>
      <c r="J62" s="207">
        <f t="shared" si="21"/>
        <v>341900</v>
      </c>
    </row>
    <row r="63" spans="1:10" ht="19.95" customHeight="1" x14ac:dyDescent="0.6">
      <c r="A63" s="204" t="s">
        <v>36</v>
      </c>
      <c r="B63" s="205">
        <v>0</v>
      </c>
      <c r="C63" s="205">
        <v>0</v>
      </c>
      <c r="D63" s="205">
        <v>0</v>
      </c>
      <c r="E63" s="206">
        <f t="shared" si="20"/>
        <v>0</v>
      </c>
      <c r="F63" s="205">
        <v>0</v>
      </c>
      <c r="G63" s="205">
        <v>0</v>
      </c>
      <c r="H63" s="205">
        <v>0</v>
      </c>
      <c r="I63" s="206">
        <f t="shared" si="19"/>
        <v>0</v>
      </c>
      <c r="J63" s="207">
        <f t="shared" si="21"/>
        <v>0</v>
      </c>
    </row>
    <row r="64" spans="1:10" ht="19.95" customHeight="1" x14ac:dyDescent="0.6">
      <c r="A64" s="208" t="s">
        <v>85</v>
      </c>
      <c r="B64" s="217">
        <v>0</v>
      </c>
      <c r="C64" s="217">
        <v>0</v>
      </c>
      <c r="E64" s="219">
        <f>B64+C64+D65</f>
        <v>0</v>
      </c>
      <c r="F64" s="217">
        <v>0</v>
      </c>
      <c r="G64" s="217">
        <v>0</v>
      </c>
      <c r="H64" s="217">
        <v>0</v>
      </c>
      <c r="I64" s="219">
        <f t="shared" si="19"/>
        <v>0</v>
      </c>
      <c r="J64" s="207">
        <f t="shared" si="21"/>
        <v>0</v>
      </c>
    </row>
    <row r="65" spans="1:10" ht="19.95" customHeight="1" x14ac:dyDescent="0.6">
      <c r="A65" s="209" t="s">
        <v>86</v>
      </c>
      <c r="B65" s="220">
        <v>0</v>
      </c>
      <c r="C65" s="220">
        <v>0</v>
      </c>
      <c r="D65" s="217">
        <v>0</v>
      </c>
      <c r="E65" s="210">
        <f>B65+C65+D65</f>
        <v>0</v>
      </c>
      <c r="F65" s="205">
        <v>0</v>
      </c>
      <c r="G65" s="220">
        <v>0</v>
      </c>
      <c r="H65" s="220">
        <v>0</v>
      </c>
      <c r="I65" s="210">
        <f t="shared" si="19"/>
        <v>0</v>
      </c>
      <c r="J65" s="207">
        <f t="shared" si="21"/>
        <v>0</v>
      </c>
    </row>
    <row r="66" spans="1:10" ht="19.95" customHeight="1" thickBot="1" x14ac:dyDescent="0.65">
      <c r="A66" s="211" t="s">
        <v>37</v>
      </c>
      <c r="B66" s="212">
        <f>SUM(B58:B65)</f>
        <v>384547.14</v>
      </c>
      <c r="C66" s="212">
        <f t="shared" ref="C66" si="22">SUM(C58:C65)</f>
        <v>335282.06</v>
      </c>
      <c r="D66" s="212">
        <f>SUM(D58:D65)</f>
        <v>366322.24</v>
      </c>
      <c r="E66" s="212">
        <f t="shared" ref="E66:I66" si="23">SUM(E58:E65)</f>
        <v>158271.29999999999</v>
      </c>
      <c r="F66" s="212">
        <f t="shared" si="23"/>
        <v>356340.81</v>
      </c>
      <c r="G66" s="212">
        <f t="shared" si="23"/>
        <v>704549.33</v>
      </c>
      <c r="H66" s="212">
        <f t="shared" si="23"/>
        <v>555595.38</v>
      </c>
      <c r="I66" s="212">
        <f t="shared" si="23"/>
        <v>1616485.5199999998</v>
      </c>
      <c r="J66" s="212">
        <f>SUM(J58:J65)</f>
        <v>2702636.96</v>
      </c>
    </row>
    <row r="67" spans="1:10" ht="19.95" customHeight="1" thickTop="1" x14ac:dyDescent="0.6">
      <c r="A67" s="213" t="s">
        <v>27</v>
      </c>
      <c r="B67" s="214">
        <v>0</v>
      </c>
      <c r="C67" s="214">
        <v>0</v>
      </c>
      <c r="D67" s="214">
        <v>0</v>
      </c>
      <c r="E67" s="214">
        <v>0</v>
      </c>
      <c r="F67" s="214">
        <v>0</v>
      </c>
      <c r="G67" s="214">
        <v>0</v>
      </c>
      <c r="H67" s="214">
        <v>0</v>
      </c>
      <c r="I67" s="214">
        <v>0</v>
      </c>
      <c r="J67" s="214">
        <v>0</v>
      </c>
    </row>
    <row r="68" spans="1:10" ht="19.95" customHeight="1" x14ac:dyDescent="0.6">
      <c r="A68" s="211" t="s">
        <v>6</v>
      </c>
      <c r="B68" s="215">
        <f>SUM(B66:B67)</f>
        <v>384547.14</v>
      </c>
      <c r="C68" s="215">
        <f t="shared" ref="C68:J68" si="24">SUM(C66:C67)</f>
        <v>335282.06</v>
      </c>
      <c r="D68" s="215">
        <f t="shared" si="24"/>
        <v>366322.24</v>
      </c>
      <c r="E68" s="216">
        <f t="shared" si="24"/>
        <v>158271.29999999999</v>
      </c>
      <c r="F68" s="215">
        <f t="shared" si="24"/>
        <v>356340.81</v>
      </c>
      <c r="G68" s="215">
        <f t="shared" si="24"/>
        <v>704549.33</v>
      </c>
      <c r="H68" s="215">
        <f t="shared" si="24"/>
        <v>555595.38</v>
      </c>
      <c r="I68" s="216">
        <f t="shared" si="24"/>
        <v>1616485.5199999998</v>
      </c>
      <c r="J68" s="215">
        <f t="shared" si="24"/>
        <v>2702636.96</v>
      </c>
    </row>
    <row r="70" spans="1:10" ht="21" customHeight="1" x14ac:dyDescent="0.6">
      <c r="A70" s="194" t="s">
        <v>78</v>
      </c>
      <c r="B70" s="194"/>
      <c r="C70" s="194"/>
      <c r="D70" s="194"/>
      <c r="E70" s="194"/>
      <c r="F70" s="194"/>
      <c r="G70" s="194"/>
      <c r="H70" s="194"/>
      <c r="I70" s="194"/>
      <c r="J70" s="194"/>
    </row>
    <row r="71" spans="1:10" ht="21" customHeight="1" x14ac:dyDescent="0.6">
      <c r="A71" s="194" t="s">
        <v>65</v>
      </c>
      <c r="B71" s="194"/>
      <c r="C71" s="194"/>
      <c r="D71" s="194"/>
      <c r="E71" s="194"/>
      <c r="F71" s="194"/>
      <c r="G71" s="194"/>
      <c r="H71" s="194"/>
      <c r="I71" s="194"/>
      <c r="J71" s="194"/>
    </row>
    <row r="72" spans="1:10" ht="21" customHeight="1" x14ac:dyDescent="0.6">
      <c r="A72" s="194" t="s">
        <v>49</v>
      </c>
      <c r="B72" s="194"/>
      <c r="C72" s="194"/>
      <c r="D72" s="194"/>
      <c r="E72" s="194"/>
      <c r="F72" s="194"/>
      <c r="G72" s="194"/>
      <c r="H72" s="194"/>
      <c r="I72" s="194"/>
      <c r="J72" s="194"/>
    </row>
    <row r="73" spans="1:10" s="195" customFormat="1" ht="33" customHeight="1" x14ac:dyDescent="0.6">
      <c r="A73" s="198" t="s">
        <v>50</v>
      </c>
      <c r="B73" s="199" t="s">
        <v>91</v>
      </c>
      <c r="C73" s="199" t="s">
        <v>92</v>
      </c>
      <c r="D73" s="199" t="s">
        <v>96</v>
      </c>
      <c r="E73" s="199" t="s">
        <v>97</v>
      </c>
      <c r="F73" s="199" t="s">
        <v>93</v>
      </c>
      <c r="G73" s="199" t="s">
        <v>94</v>
      </c>
      <c r="H73" s="199" t="s">
        <v>95</v>
      </c>
      <c r="I73" s="199" t="s">
        <v>31</v>
      </c>
      <c r="J73" s="200" t="s">
        <v>6</v>
      </c>
    </row>
    <row r="74" spans="1:10" ht="19.95" customHeight="1" x14ac:dyDescent="0.6">
      <c r="A74" s="201" t="s">
        <v>10</v>
      </c>
      <c r="B74" s="202"/>
      <c r="C74" s="202"/>
      <c r="D74" s="202"/>
      <c r="E74" s="203"/>
      <c r="F74" s="202"/>
      <c r="G74" s="202"/>
      <c r="H74" s="202"/>
      <c r="I74" s="203"/>
      <c r="J74" s="202"/>
    </row>
    <row r="75" spans="1:10" ht="19.95" customHeight="1" x14ac:dyDescent="0.6">
      <c r="A75" s="204" t="s">
        <v>59</v>
      </c>
      <c r="B75" s="205">
        <v>297230</v>
      </c>
      <c r="C75" s="205">
        <v>297230</v>
      </c>
      <c r="D75" s="205">
        <v>271777.42</v>
      </c>
      <c r="E75" s="206"/>
      <c r="F75" s="205">
        <v>284690</v>
      </c>
      <c r="G75" s="205">
        <v>553380</v>
      </c>
      <c r="H75" s="205">
        <v>17564.52</v>
      </c>
      <c r="I75" s="206">
        <f t="shared" ref="I75:I82" si="25">F75+G75+H75</f>
        <v>855634.52</v>
      </c>
      <c r="J75" s="207">
        <f>B75+C75+D75+F75+G75+H75</f>
        <v>1721871.94</v>
      </c>
    </row>
    <row r="76" spans="1:10" ht="19.95" customHeight="1" x14ac:dyDescent="0.6">
      <c r="A76" s="204" t="s">
        <v>32</v>
      </c>
      <c r="B76" s="205">
        <v>12000</v>
      </c>
      <c r="C76" s="205">
        <v>12000</v>
      </c>
      <c r="D76" s="205">
        <v>12000</v>
      </c>
      <c r="E76" s="206">
        <f t="shared" ref="E76:E80" si="26">B76+C76+D76</f>
        <v>36000</v>
      </c>
      <c r="F76" s="205">
        <v>12000</v>
      </c>
      <c r="G76" s="205">
        <v>24000</v>
      </c>
      <c r="H76" s="205">
        <v>0</v>
      </c>
      <c r="I76" s="206">
        <f t="shared" si="25"/>
        <v>36000</v>
      </c>
      <c r="J76" s="207">
        <f t="shared" ref="J76:J82" si="27">B76+C76+D76+F76+G76+H76</f>
        <v>72000</v>
      </c>
    </row>
    <row r="77" spans="1:10" ht="19.95" customHeight="1" x14ac:dyDescent="0.6">
      <c r="A77" s="204" t="s">
        <v>33</v>
      </c>
      <c r="B77" s="205">
        <v>67680</v>
      </c>
      <c r="C77" s="205">
        <v>122320</v>
      </c>
      <c r="D77" s="205">
        <v>47150</v>
      </c>
      <c r="E77" s="206">
        <f t="shared" si="26"/>
        <v>237150</v>
      </c>
      <c r="F77" s="205">
        <v>46550</v>
      </c>
      <c r="G77" s="205">
        <v>137371</v>
      </c>
      <c r="H77" s="205">
        <v>52570</v>
      </c>
      <c r="I77" s="206">
        <f t="shared" si="25"/>
        <v>236491</v>
      </c>
      <c r="J77" s="207">
        <f t="shared" si="27"/>
        <v>473641</v>
      </c>
    </row>
    <row r="78" spans="1:10" ht="19.95" customHeight="1" x14ac:dyDescent="0.6">
      <c r="A78" s="204" t="s">
        <v>34</v>
      </c>
      <c r="B78" s="205"/>
      <c r="C78" s="205">
        <v>0</v>
      </c>
      <c r="D78" s="205">
        <v>540719</v>
      </c>
      <c r="E78" s="206">
        <f t="shared" si="26"/>
        <v>540719</v>
      </c>
      <c r="F78" s="205"/>
      <c r="G78" s="205">
        <v>8765</v>
      </c>
      <c r="H78" s="205">
        <v>154944</v>
      </c>
      <c r="I78" s="206">
        <f t="shared" si="25"/>
        <v>163709</v>
      </c>
      <c r="J78" s="207">
        <f t="shared" si="27"/>
        <v>704428</v>
      </c>
    </row>
    <row r="79" spans="1:10" ht="19.95" customHeight="1" x14ac:dyDescent="0.6">
      <c r="A79" s="204" t="s">
        <v>35</v>
      </c>
      <c r="B79" s="205">
        <v>0</v>
      </c>
      <c r="C79" s="205">
        <v>0</v>
      </c>
      <c r="D79" s="205">
        <v>0</v>
      </c>
      <c r="E79" s="206">
        <f t="shared" si="26"/>
        <v>0</v>
      </c>
      <c r="F79" s="205">
        <v>11000</v>
      </c>
      <c r="G79" s="205">
        <v>0</v>
      </c>
      <c r="H79" s="205">
        <v>0</v>
      </c>
      <c r="I79" s="206">
        <f t="shared" si="25"/>
        <v>11000</v>
      </c>
      <c r="J79" s="207">
        <f t="shared" si="27"/>
        <v>11000</v>
      </c>
    </row>
    <row r="80" spans="1:10" ht="19.95" customHeight="1" x14ac:dyDescent="0.6">
      <c r="A80" s="204" t="s">
        <v>36</v>
      </c>
      <c r="B80" s="205">
        <v>0</v>
      </c>
      <c r="C80" s="205">
        <v>0</v>
      </c>
      <c r="D80" s="205">
        <v>0</v>
      </c>
      <c r="E80" s="206">
        <f t="shared" si="26"/>
        <v>0</v>
      </c>
      <c r="F80" s="205">
        <v>0</v>
      </c>
      <c r="G80" s="205">
        <v>0</v>
      </c>
      <c r="H80" s="205">
        <v>0</v>
      </c>
      <c r="I80" s="206">
        <f t="shared" si="25"/>
        <v>0</v>
      </c>
      <c r="J80" s="207">
        <f t="shared" si="27"/>
        <v>0</v>
      </c>
    </row>
    <row r="81" spans="1:10" ht="19.95" customHeight="1" x14ac:dyDescent="0.6">
      <c r="A81" s="208" t="s">
        <v>85</v>
      </c>
      <c r="B81" s="217">
        <v>0</v>
      </c>
      <c r="C81" s="217">
        <v>0</v>
      </c>
      <c r="D81" s="218">
        <v>0</v>
      </c>
      <c r="E81" s="219">
        <f>B81+C81+D82</f>
        <v>0</v>
      </c>
      <c r="F81" s="217">
        <v>0</v>
      </c>
      <c r="G81" s="217">
        <v>0</v>
      </c>
      <c r="H81" s="217">
        <v>0</v>
      </c>
      <c r="I81" s="219">
        <f t="shared" si="25"/>
        <v>0</v>
      </c>
      <c r="J81" s="207">
        <f t="shared" si="27"/>
        <v>0</v>
      </c>
    </row>
    <row r="82" spans="1:10" ht="19.95" customHeight="1" x14ac:dyDescent="0.6">
      <c r="A82" s="209" t="s">
        <v>86</v>
      </c>
      <c r="B82" s="220">
        <v>0</v>
      </c>
      <c r="C82" s="220">
        <v>0</v>
      </c>
      <c r="D82" s="217">
        <v>0</v>
      </c>
      <c r="E82" s="210">
        <f>B82+C82+D82</f>
        <v>0</v>
      </c>
      <c r="F82" s="205">
        <v>0</v>
      </c>
      <c r="G82" s="220">
        <v>0</v>
      </c>
      <c r="H82" s="220">
        <v>0</v>
      </c>
      <c r="I82" s="210">
        <f t="shared" si="25"/>
        <v>0</v>
      </c>
      <c r="J82" s="207">
        <f t="shared" si="27"/>
        <v>0</v>
      </c>
    </row>
    <row r="83" spans="1:10" ht="19.95" customHeight="1" thickBot="1" x14ac:dyDescent="0.65">
      <c r="A83" s="211" t="s">
        <v>37</v>
      </c>
      <c r="B83" s="212">
        <f>SUM(B75:B82)</f>
        <v>376910</v>
      </c>
      <c r="C83" s="212">
        <f t="shared" ref="C83" si="28">SUM(C75:C82)</f>
        <v>431550</v>
      </c>
      <c r="D83" s="212">
        <f>SUM(D75:D82)</f>
        <v>871646.41999999993</v>
      </c>
      <c r="E83" s="212">
        <f t="shared" ref="E83:I83" si="29">SUM(E75:E82)</f>
        <v>813869</v>
      </c>
      <c r="F83" s="212">
        <f t="shared" si="29"/>
        <v>354240</v>
      </c>
      <c r="G83" s="212">
        <f t="shared" si="29"/>
        <v>723516</v>
      </c>
      <c r="H83" s="212">
        <f t="shared" si="29"/>
        <v>225078.52000000002</v>
      </c>
      <c r="I83" s="212">
        <f t="shared" si="29"/>
        <v>1302834.52</v>
      </c>
      <c r="J83" s="212">
        <f>SUM(J75:J82)</f>
        <v>2982940.94</v>
      </c>
    </row>
    <row r="84" spans="1:10" ht="19.95" customHeight="1" thickTop="1" x14ac:dyDescent="0.6">
      <c r="A84" s="213" t="s">
        <v>27</v>
      </c>
      <c r="B84" s="214">
        <v>0</v>
      </c>
      <c r="C84" s="214">
        <v>0</v>
      </c>
      <c r="D84" s="214">
        <v>0</v>
      </c>
      <c r="E84" s="214">
        <v>0</v>
      </c>
      <c r="F84" s="214">
        <v>0</v>
      </c>
      <c r="G84" s="214">
        <v>0</v>
      </c>
      <c r="H84" s="214">
        <v>0</v>
      </c>
      <c r="I84" s="214">
        <v>0</v>
      </c>
      <c r="J84" s="214">
        <v>0</v>
      </c>
    </row>
    <row r="85" spans="1:10" ht="19.95" customHeight="1" x14ac:dyDescent="0.6">
      <c r="A85" s="211" t="s">
        <v>38</v>
      </c>
      <c r="B85" s="215">
        <f>SUM(B83:B84)</f>
        <v>376910</v>
      </c>
      <c r="C85" s="215">
        <f t="shared" ref="C85:J85" si="30">SUM(C83:C84)</f>
        <v>431550</v>
      </c>
      <c r="D85" s="215">
        <f t="shared" si="30"/>
        <v>871646.41999999993</v>
      </c>
      <c r="E85" s="216">
        <f t="shared" si="30"/>
        <v>813869</v>
      </c>
      <c r="F85" s="215">
        <f t="shared" si="30"/>
        <v>354240</v>
      </c>
      <c r="G85" s="215">
        <f t="shared" si="30"/>
        <v>723516</v>
      </c>
      <c r="H85" s="215">
        <f t="shared" si="30"/>
        <v>225078.52000000002</v>
      </c>
      <c r="I85" s="216">
        <f t="shared" si="30"/>
        <v>1302834.52</v>
      </c>
      <c r="J85" s="215">
        <f t="shared" si="30"/>
        <v>2982940.94</v>
      </c>
    </row>
    <row r="87" spans="1:10" ht="21" customHeight="1" x14ac:dyDescent="0.6">
      <c r="A87" s="194" t="s">
        <v>78</v>
      </c>
      <c r="B87" s="194"/>
      <c r="C87" s="194"/>
      <c r="D87" s="194"/>
      <c r="E87" s="194"/>
      <c r="F87" s="194"/>
      <c r="G87" s="194"/>
      <c r="H87" s="194"/>
      <c r="I87" s="194"/>
      <c r="J87" s="194"/>
    </row>
    <row r="88" spans="1:10" ht="21" customHeight="1" x14ac:dyDescent="0.6">
      <c r="A88" s="194" t="s">
        <v>66</v>
      </c>
      <c r="B88" s="194"/>
      <c r="C88" s="194"/>
      <c r="D88" s="194"/>
      <c r="E88" s="194"/>
      <c r="F88" s="194"/>
      <c r="G88" s="194"/>
      <c r="H88" s="194"/>
      <c r="I88" s="194"/>
      <c r="J88" s="194"/>
    </row>
    <row r="89" spans="1:10" ht="21" customHeight="1" x14ac:dyDescent="0.6">
      <c r="A89" s="197" t="s">
        <v>90</v>
      </c>
      <c r="B89" s="197"/>
      <c r="C89" s="197"/>
      <c r="D89" s="197"/>
      <c r="E89" s="197"/>
      <c r="F89" s="197"/>
      <c r="G89" s="197"/>
      <c r="H89" s="197"/>
      <c r="I89" s="197"/>
      <c r="J89" s="197"/>
    </row>
    <row r="90" spans="1:10" s="195" customFormat="1" ht="33" customHeight="1" x14ac:dyDescent="0.6">
      <c r="A90" s="198" t="s">
        <v>50</v>
      </c>
      <c r="B90" s="199" t="s">
        <v>91</v>
      </c>
      <c r="C90" s="199" t="s">
        <v>92</v>
      </c>
      <c r="D90" s="199" t="s">
        <v>96</v>
      </c>
      <c r="E90" s="199" t="s">
        <v>97</v>
      </c>
      <c r="F90" s="199" t="s">
        <v>93</v>
      </c>
      <c r="G90" s="199" t="s">
        <v>94</v>
      </c>
      <c r="H90" s="199" t="s">
        <v>95</v>
      </c>
      <c r="I90" s="199" t="s">
        <v>31</v>
      </c>
      <c r="J90" s="200" t="s">
        <v>6</v>
      </c>
    </row>
    <row r="91" spans="1:10" ht="19.95" customHeight="1" x14ac:dyDescent="0.6">
      <c r="A91" s="201" t="s">
        <v>10</v>
      </c>
      <c r="B91" s="202"/>
      <c r="C91" s="202"/>
      <c r="D91" s="202"/>
      <c r="E91" s="203"/>
      <c r="F91" s="202"/>
      <c r="G91" s="202"/>
      <c r="H91" s="202"/>
      <c r="I91" s="203"/>
      <c r="J91" s="202"/>
    </row>
    <row r="92" spans="1:10" ht="19.95" customHeight="1" x14ac:dyDescent="0.6">
      <c r="A92" s="204" t="s">
        <v>59</v>
      </c>
      <c r="B92" s="205">
        <f>3503447.1+693680</f>
        <v>4197127.0999999996</v>
      </c>
      <c r="C92" s="205">
        <f>3499780+693680</f>
        <v>4193460</v>
      </c>
      <c r="D92" s="205">
        <f>4055653.71+787550</f>
        <v>4843203.71</v>
      </c>
      <c r="E92" s="206"/>
      <c r="F92" s="205">
        <f>3699635+729470</f>
        <v>4429105</v>
      </c>
      <c r="G92" s="205">
        <f>7116838.67+1404460</f>
        <v>8521298.6699999999</v>
      </c>
      <c r="H92" s="205">
        <f>292034.52+15033.87</f>
        <v>307068.39</v>
      </c>
      <c r="I92" s="206">
        <f t="shared" ref="I92:I99" si="31">F92+G92+H92</f>
        <v>13257472.060000001</v>
      </c>
      <c r="J92" s="207">
        <f>B92+C92+D92+F92+G92+H92</f>
        <v>26491262.869999997</v>
      </c>
    </row>
    <row r="93" spans="1:10" ht="19.95" customHeight="1" x14ac:dyDescent="0.6">
      <c r="A93" s="204" t="s">
        <v>32</v>
      </c>
      <c r="B93" s="205">
        <f>1580798.67+312000</f>
        <v>1892798.67</v>
      </c>
      <c r="C93" s="205">
        <f>1513361.5+287612.9</f>
        <v>1800974.4</v>
      </c>
      <c r="D93" s="205">
        <f>1485128.78+244629.18</f>
        <v>1729757.96</v>
      </c>
      <c r="E93" s="206">
        <f t="shared" ref="E93:E97" si="32">B93+C93+D93</f>
        <v>5423531.0299999993</v>
      </c>
      <c r="F93" s="205">
        <f>1511710.77+284849.04</f>
        <v>1796559.81</v>
      </c>
      <c r="G93" s="205">
        <f>3204371.29+548126.78</f>
        <v>3752498.0700000003</v>
      </c>
      <c r="H93" s="205">
        <f>-9350.12-775.65</f>
        <v>-10125.77</v>
      </c>
      <c r="I93" s="206">
        <f t="shared" si="31"/>
        <v>5538932.1100000013</v>
      </c>
      <c r="J93" s="207">
        <f>B93+C93+D93+F93+G93+H93</f>
        <v>10962463.140000001</v>
      </c>
    </row>
    <row r="94" spans="1:10" ht="19.95" customHeight="1" x14ac:dyDescent="0.6">
      <c r="A94" s="204" t="s">
        <v>33</v>
      </c>
      <c r="B94" s="205">
        <f>1188297+85877</f>
        <v>1274174</v>
      </c>
      <c r="C94" s="205">
        <f>1631308+190768</f>
        <v>1822076</v>
      </c>
      <c r="D94" s="205">
        <f>1395305.74+1165754</f>
        <v>2561059.7400000002</v>
      </c>
      <c r="E94" s="206">
        <f t="shared" si="32"/>
        <v>5657309.7400000002</v>
      </c>
      <c r="F94" s="205">
        <f>1434215.5+78920</f>
        <v>1513135.5</v>
      </c>
      <c r="G94" s="205">
        <f>2799336+673651</f>
        <v>3472987</v>
      </c>
      <c r="H94" s="205">
        <f>2400235+108400</f>
        <v>2508635</v>
      </c>
      <c r="I94" s="206">
        <f t="shared" si="31"/>
        <v>7494757.5</v>
      </c>
      <c r="J94" s="207">
        <f t="shared" ref="J94:J99" si="33">B94+C94+D94+F94+G94+H94</f>
        <v>13152067.24</v>
      </c>
    </row>
    <row r="95" spans="1:10" ht="19.95" customHeight="1" x14ac:dyDescent="0.6">
      <c r="A95" s="204" t="s">
        <v>34</v>
      </c>
      <c r="B95" s="205">
        <v>0</v>
      </c>
      <c r="C95" s="205">
        <v>0</v>
      </c>
      <c r="D95" s="205">
        <v>0</v>
      </c>
      <c r="E95" s="206">
        <f t="shared" si="32"/>
        <v>0</v>
      </c>
      <c r="F95" s="205">
        <v>0</v>
      </c>
      <c r="G95" s="205">
        <v>0</v>
      </c>
      <c r="H95" s="205">
        <v>0</v>
      </c>
      <c r="I95" s="206">
        <f t="shared" si="31"/>
        <v>0</v>
      </c>
      <c r="J95" s="207">
        <f t="shared" si="33"/>
        <v>0</v>
      </c>
    </row>
    <row r="96" spans="1:10" ht="19.95" customHeight="1" x14ac:dyDescent="0.6">
      <c r="A96" s="204" t="s">
        <v>35</v>
      </c>
      <c r="B96" s="205">
        <v>0</v>
      </c>
      <c r="C96" s="205">
        <v>0</v>
      </c>
      <c r="D96" s="205">
        <v>1830000</v>
      </c>
      <c r="E96" s="206">
        <f t="shared" si="32"/>
        <v>1830000</v>
      </c>
      <c r="F96" s="205">
        <v>0</v>
      </c>
      <c r="G96" s="205">
        <v>140600</v>
      </c>
      <c r="H96" s="205">
        <v>0</v>
      </c>
      <c r="I96" s="206">
        <f t="shared" si="31"/>
        <v>140600</v>
      </c>
      <c r="J96" s="207">
        <f t="shared" si="33"/>
        <v>1970600</v>
      </c>
    </row>
    <row r="97" spans="1:10" ht="19.95" customHeight="1" x14ac:dyDescent="0.6">
      <c r="A97" s="204" t="s">
        <v>36</v>
      </c>
      <c r="B97" s="205">
        <v>0</v>
      </c>
      <c r="C97" s="205">
        <v>0</v>
      </c>
      <c r="D97" s="205">
        <v>0</v>
      </c>
      <c r="E97" s="206">
        <f t="shared" si="32"/>
        <v>0</v>
      </c>
      <c r="F97" s="205">
        <v>0</v>
      </c>
      <c r="G97" s="205">
        <v>0</v>
      </c>
      <c r="H97" s="205">
        <v>0</v>
      </c>
      <c r="I97" s="206">
        <f t="shared" si="31"/>
        <v>0</v>
      </c>
      <c r="J97" s="207">
        <f t="shared" si="33"/>
        <v>0</v>
      </c>
    </row>
    <row r="98" spans="1:10" ht="19.95" customHeight="1" x14ac:dyDescent="0.6">
      <c r="A98" s="208" t="s">
        <v>85</v>
      </c>
      <c r="B98" s="217">
        <v>0</v>
      </c>
      <c r="C98" s="217">
        <v>0</v>
      </c>
      <c r="E98" s="219">
        <f>B98+C98+D99</f>
        <v>0</v>
      </c>
      <c r="F98" s="217">
        <v>0</v>
      </c>
      <c r="G98" s="217">
        <v>0</v>
      </c>
      <c r="H98" s="217">
        <v>0</v>
      </c>
      <c r="I98" s="219">
        <f t="shared" si="31"/>
        <v>0</v>
      </c>
      <c r="J98" s="207">
        <f t="shared" si="33"/>
        <v>0</v>
      </c>
    </row>
    <row r="99" spans="1:10" ht="19.95" customHeight="1" x14ac:dyDescent="0.6">
      <c r="A99" s="209" t="s">
        <v>86</v>
      </c>
      <c r="B99" s="220">
        <v>0</v>
      </c>
      <c r="C99" s="220">
        <v>0</v>
      </c>
      <c r="D99" s="217">
        <v>0</v>
      </c>
      <c r="E99" s="210">
        <f>B99+C99+D99</f>
        <v>0</v>
      </c>
      <c r="F99" s="205">
        <v>0</v>
      </c>
      <c r="G99" s="220"/>
      <c r="H99" s="220">
        <v>40300</v>
      </c>
      <c r="I99" s="210">
        <f t="shared" si="31"/>
        <v>40300</v>
      </c>
      <c r="J99" s="207">
        <f t="shared" si="33"/>
        <v>40300</v>
      </c>
    </row>
    <row r="100" spans="1:10" ht="19.95" customHeight="1" thickBot="1" x14ac:dyDescent="0.65">
      <c r="A100" s="211" t="s">
        <v>37</v>
      </c>
      <c r="B100" s="212">
        <f>SUM(B92:B99)</f>
        <v>7364099.7699999996</v>
      </c>
      <c r="C100" s="212">
        <f t="shared" ref="C100" si="34">SUM(C92:C99)</f>
        <v>7816510.4000000004</v>
      </c>
      <c r="D100" s="212">
        <f>SUM(D92:D99)</f>
        <v>10964021.41</v>
      </c>
      <c r="E100" s="212">
        <f t="shared" ref="E100:I100" si="35">SUM(E92:E99)</f>
        <v>12910840.77</v>
      </c>
      <c r="F100" s="212">
        <f t="shared" si="35"/>
        <v>7738800.3100000005</v>
      </c>
      <c r="G100" s="212">
        <f t="shared" si="35"/>
        <v>15887383.74</v>
      </c>
      <c r="H100" s="212">
        <f t="shared" si="35"/>
        <v>2845877.62</v>
      </c>
      <c r="I100" s="212">
        <f t="shared" si="35"/>
        <v>26472061.670000002</v>
      </c>
      <c r="J100" s="212">
        <f>SUM(J92:J99)</f>
        <v>52616693.25</v>
      </c>
    </row>
    <row r="101" spans="1:10" ht="19.95" customHeight="1" thickTop="1" x14ac:dyDescent="0.6">
      <c r="A101" s="213" t="s">
        <v>27</v>
      </c>
      <c r="B101" s="214">
        <v>0</v>
      </c>
      <c r="C101" s="214">
        <v>0</v>
      </c>
      <c r="D101" s="214">
        <v>0</v>
      </c>
      <c r="E101" s="214">
        <v>0</v>
      </c>
      <c r="F101" s="214">
        <v>0</v>
      </c>
      <c r="G101" s="214">
        <v>0</v>
      </c>
      <c r="H101" s="214">
        <v>0</v>
      </c>
      <c r="I101" s="214">
        <v>0</v>
      </c>
      <c r="J101" s="214">
        <v>0</v>
      </c>
    </row>
    <row r="102" spans="1:10" ht="19.95" customHeight="1" x14ac:dyDescent="0.6">
      <c r="A102" s="211" t="s">
        <v>38</v>
      </c>
      <c r="B102" s="215">
        <f>SUM(B100:B101)</f>
        <v>7364099.7699999996</v>
      </c>
      <c r="C102" s="215">
        <f t="shared" ref="C102:J102" si="36">SUM(C100:C101)</f>
        <v>7816510.4000000004</v>
      </c>
      <c r="D102" s="215">
        <f t="shared" si="36"/>
        <v>10964021.41</v>
      </c>
      <c r="E102" s="216">
        <f t="shared" si="36"/>
        <v>12910840.77</v>
      </c>
      <c r="F102" s="215">
        <f t="shared" si="36"/>
        <v>7738800.3100000005</v>
      </c>
      <c r="G102" s="215">
        <f t="shared" si="36"/>
        <v>15887383.74</v>
      </c>
      <c r="H102" s="215">
        <f t="shared" si="36"/>
        <v>2845877.62</v>
      </c>
      <c r="I102" s="216">
        <f t="shared" si="36"/>
        <v>26472061.670000002</v>
      </c>
      <c r="J102" s="215">
        <f t="shared" si="36"/>
        <v>52616693.25</v>
      </c>
    </row>
    <row r="104" spans="1:10" ht="21" customHeight="1" x14ac:dyDescent="0.6">
      <c r="A104" s="194" t="s">
        <v>78</v>
      </c>
      <c r="B104" s="194"/>
      <c r="C104" s="194"/>
      <c r="D104" s="194"/>
      <c r="E104" s="194"/>
      <c r="F104" s="194"/>
      <c r="G104" s="194"/>
      <c r="H104" s="194"/>
      <c r="I104" s="194"/>
      <c r="J104" s="194"/>
    </row>
    <row r="105" spans="1:10" ht="21" customHeight="1" x14ac:dyDescent="0.6">
      <c r="A105" s="194" t="s">
        <v>67</v>
      </c>
      <c r="B105" s="194"/>
      <c r="C105" s="194"/>
      <c r="D105" s="194"/>
      <c r="E105" s="194"/>
      <c r="F105" s="194"/>
      <c r="G105" s="194"/>
      <c r="H105" s="194"/>
      <c r="I105" s="194"/>
      <c r="J105" s="194"/>
    </row>
    <row r="106" spans="1:10" ht="21" customHeight="1" x14ac:dyDescent="0.6">
      <c r="A106" s="197" t="s">
        <v>90</v>
      </c>
      <c r="B106" s="197"/>
      <c r="C106" s="197"/>
      <c r="D106" s="197"/>
      <c r="E106" s="197"/>
      <c r="F106" s="197"/>
      <c r="G106" s="197"/>
      <c r="H106" s="197"/>
      <c r="I106" s="197"/>
      <c r="J106" s="197"/>
    </row>
    <row r="107" spans="1:10" s="195" customFormat="1" ht="33" customHeight="1" x14ac:dyDescent="0.6">
      <c r="A107" s="198" t="s">
        <v>50</v>
      </c>
      <c r="B107" s="199" t="s">
        <v>91</v>
      </c>
      <c r="C107" s="199" t="s">
        <v>92</v>
      </c>
      <c r="D107" s="199" t="s">
        <v>96</v>
      </c>
      <c r="E107" s="199" t="s">
        <v>97</v>
      </c>
      <c r="F107" s="199" t="s">
        <v>93</v>
      </c>
      <c r="G107" s="199" t="s">
        <v>94</v>
      </c>
      <c r="H107" s="199" t="s">
        <v>95</v>
      </c>
      <c r="I107" s="199" t="s">
        <v>31</v>
      </c>
      <c r="J107" s="200" t="s">
        <v>6</v>
      </c>
    </row>
    <row r="108" spans="1:10" ht="19.95" customHeight="1" x14ac:dyDescent="0.6">
      <c r="A108" s="201" t="s">
        <v>10</v>
      </c>
      <c r="B108" s="202"/>
      <c r="C108" s="202"/>
      <c r="D108" s="202"/>
      <c r="E108" s="203"/>
      <c r="F108" s="202"/>
      <c r="G108" s="202"/>
      <c r="H108" s="202"/>
      <c r="I108" s="203"/>
      <c r="J108" s="202"/>
    </row>
    <row r="109" spans="1:10" ht="19.95" customHeight="1" x14ac:dyDescent="0.6">
      <c r="A109" s="204" t="s">
        <v>59</v>
      </c>
      <c r="B109" s="205">
        <v>799730</v>
      </c>
      <c r="C109" s="205">
        <v>799730</v>
      </c>
      <c r="D109" s="205">
        <v>850550</v>
      </c>
      <c r="E109" s="206"/>
      <c r="F109" s="205">
        <v>832630</v>
      </c>
      <c r="G109" s="205">
        <v>1310990.58</v>
      </c>
      <c r="H109" s="205">
        <v>380510.97</v>
      </c>
      <c r="I109" s="206">
        <f t="shared" ref="I109:I116" si="37">F109+G109+H109</f>
        <v>2524131.5499999998</v>
      </c>
      <c r="J109" s="207">
        <f>B109+C109+D109+F109+G109+H109</f>
        <v>4974141.55</v>
      </c>
    </row>
    <row r="110" spans="1:10" ht="19.95" customHeight="1" x14ac:dyDescent="0.6">
      <c r="A110" s="204" t="s">
        <v>32</v>
      </c>
      <c r="B110" s="205">
        <v>12000</v>
      </c>
      <c r="C110" s="205">
        <v>12000</v>
      </c>
      <c r="D110" s="205">
        <v>12000</v>
      </c>
      <c r="E110" s="206">
        <f t="shared" ref="E110:E114" si="38">B110+C110+D110</f>
        <v>36000</v>
      </c>
      <c r="F110" s="205">
        <v>12000</v>
      </c>
      <c r="G110" s="205">
        <v>24000</v>
      </c>
      <c r="H110" s="205">
        <v>0</v>
      </c>
      <c r="I110" s="206">
        <f t="shared" si="37"/>
        <v>36000</v>
      </c>
      <c r="J110" s="207">
        <f t="shared" ref="J110:J116" si="39">B110+C110+D110+F110+G110+H110</f>
        <v>72000</v>
      </c>
    </row>
    <row r="111" spans="1:10" ht="19.95" customHeight="1" x14ac:dyDescent="0.6">
      <c r="A111" s="204" t="s">
        <v>33</v>
      </c>
      <c r="B111" s="205">
        <v>195991</v>
      </c>
      <c r="C111" s="205">
        <v>212331</v>
      </c>
      <c r="D111" s="205">
        <v>350338</v>
      </c>
      <c r="E111" s="206">
        <f t="shared" si="38"/>
        <v>758660</v>
      </c>
      <c r="F111" s="205">
        <v>196632</v>
      </c>
      <c r="G111" s="205">
        <v>229245.81</v>
      </c>
      <c r="H111" s="205">
        <v>415441</v>
      </c>
      <c r="I111" s="206">
        <f t="shared" si="37"/>
        <v>841318.81</v>
      </c>
      <c r="J111" s="207">
        <f t="shared" si="39"/>
        <v>1599978.81</v>
      </c>
    </row>
    <row r="112" spans="1:10" ht="19.95" customHeight="1" x14ac:dyDescent="0.6">
      <c r="A112" s="204" t="s">
        <v>34</v>
      </c>
      <c r="B112" s="205">
        <v>0</v>
      </c>
      <c r="C112" s="205">
        <v>0</v>
      </c>
      <c r="D112" s="205">
        <v>0</v>
      </c>
      <c r="E112" s="206">
        <f t="shared" si="38"/>
        <v>0</v>
      </c>
      <c r="F112" s="205">
        <v>0</v>
      </c>
      <c r="G112" s="205">
        <v>0</v>
      </c>
      <c r="H112" s="205">
        <v>0</v>
      </c>
      <c r="I112" s="206">
        <f t="shared" si="37"/>
        <v>0</v>
      </c>
      <c r="J112" s="207">
        <f t="shared" si="39"/>
        <v>0</v>
      </c>
    </row>
    <row r="113" spans="1:10" ht="19.95" customHeight="1" x14ac:dyDescent="0.6">
      <c r="A113" s="204" t="s">
        <v>35</v>
      </c>
      <c r="B113" s="205">
        <v>0</v>
      </c>
      <c r="C113" s="205">
        <v>0</v>
      </c>
      <c r="D113" s="205">
        <v>0</v>
      </c>
      <c r="E113" s="206">
        <f t="shared" si="38"/>
        <v>0</v>
      </c>
      <c r="F113" s="205">
        <v>0</v>
      </c>
      <c r="G113" s="205">
        <v>417800</v>
      </c>
      <c r="H113" s="205">
        <v>0</v>
      </c>
      <c r="I113" s="206">
        <f t="shared" si="37"/>
        <v>417800</v>
      </c>
      <c r="J113" s="207">
        <f t="shared" si="39"/>
        <v>417800</v>
      </c>
    </row>
    <row r="114" spans="1:10" ht="19.95" customHeight="1" x14ac:dyDescent="0.6">
      <c r="A114" s="204" t="s">
        <v>36</v>
      </c>
      <c r="B114" s="205">
        <v>0</v>
      </c>
      <c r="C114" s="205">
        <v>0</v>
      </c>
      <c r="D114" s="205">
        <v>0</v>
      </c>
      <c r="E114" s="206">
        <f t="shared" si="38"/>
        <v>0</v>
      </c>
      <c r="F114" s="205">
        <v>0</v>
      </c>
      <c r="G114" s="205">
        <v>0</v>
      </c>
      <c r="H114" s="205">
        <v>0</v>
      </c>
      <c r="I114" s="206">
        <f t="shared" si="37"/>
        <v>0</v>
      </c>
      <c r="J114" s="207">
        <f t="shared" si="39"/>
        <v>0</v>
      </c>
    </row>
    <row r="115" spans="1:10" ht="19.95" customHeight="1" x14ac:dyDescent="0.6">
      <c r="A115" s="208" t="s">
        <v>85</v>
      </c>
      <c r="B115" s="217">
        <v>0</v>
      </c>
      <c r="C115" s="217">
        <v>0</v>
      </c>
      <c r="E115" s="219">
        <f>B115+C115+D116</f>
        <v>0</v>
      </c>
      <c r="F115" s="217">
        <v>0</v>
      </c>
      <c r="G115" s="217">
        <v>0</v>
      </c>
      <c r="H115" s="217">
        <v>0</v>
      </c>
      <c r="I115" s="219">
        <f t="shared" si="37"/>
        <v>0</v>
      </c>
      <c r="J115" s="207">
        <f t="shared" si="39"/>
        <v>0</v>
      </c>
    </row>
    <row r="116" spans="1:10" ht="19.95" customHeight="1" x14ac:dyDescent="0.6">
      <c r="A116" s="209" t="s">
        <v>86</v>
      </c>
      <c r="B116" s="220">
        <v>0</v>
      </c>
      <c r="C116" s="220">
        <v>0</v>
      </c>
      <c r="D116" s="217">
        <v>0</v>
      </c>
      <c r="E116" s="210">
        <f>B116+C116</f>
        <v>0</v>
      </c>
      <c r="F116" s="205">
        <v>0</v>
      </c>
      <c r="G116" s="220">
        <v>0</v>
      </c>
      <c r="H116" s="220">
        <v>0</v>
      </c>
      <c r="I116" s="210">
        <f t="shared" si="37"/>
        <v>0</v>
      </c>
      <c r="J116" s="207">
        <f t="shared" si="39"/>
        <v>0</v>
      </c>
    </row>
    <row r="117" spans="1:10" ht="19.95" customHeight="1" thickBot="1" x14ac:dyDescent="0.65">
      <c r="A117" s="211" t="s">
        <v>37</v>
      </c>
      <c r="B117" s="212">
        <f>SUM(B109:B116)</f>
        <v>1007721</v>
      </c>
      <c r="C117" s="212">
        <f t="shared" ref="C117" si="40">SUM(C109:C116)</f>
        <v>1024061</v>
      </c>
      <c r="D117" s="212">
        <f>SUM(D109:D116)</f>
        <v>1212888</v>
      </c>
      <c r="E117" s="212">
        <f t="shared" ref="E117:I117" si="41">SUM(E109:E116)</f>
        <v>794660</v>
      </c>
      <c r="F117" s="212">
        <f t="shared" si="41"/>
        <v>1041262</v>
      </c>
      <c r="G117" s="212">
        <f t="shared" si="41"/>
        <v>1982036.3900000001</v>
      </c>
      <c r="H117" s="212">
        <f t="shared" si="41"/>
        <v>795951.97</v>
      </c>
      <c r="I117" s="212">
        <f t="shared" si="41"/>
        <v>3819250.36</v>
      </c>
      <c r="J117" s="212">
        <f>SUM(J109:J116)</f>
        <v>7063920.3599999994</v>
      </c>
    </row>
    <row r="118" spans="1:10" ht="19.95" customHeight="1" thickTop="1" x14ac:dyDescent="0.6">
      <c r="A118" s="213" t="s">
        <v>27</v>
      </c>
      <c r="B118" s="214">
        <v>0</v>
      </c>
      <c r="C118" s="214">
        <v>0</v>
      </c>
      <c r="D118" s="214">
        <v>0</v>
      </c>
      <c r="E118" s="214">
        <v>0</v>
      </c>
      <c r="F118" s="214">
        <v>0</v>
      </c>
      <c r="G118" s="214">
        <v>0</v>
      </c>
      <c r="H118" s="214">
        <v>0</v>
      </c>
      <c r="I118" s="214">
        <v>0</v>
      </c>
      <c r="J118" s="214">
        <v>0</v>
      </c>
    </row>
    <row r="119" spans="1:10" ht="19.95" customHeight="1" x14ac:dyDescent="0.6">
      <c r="A119" s="211" t="s">
        <v>6</v>
      </c>
      <c r="B119" s="215">
        <f>SUM(B117:B118)</f>
        <v>1007721</v>
      </c>
      <c r="C119" s="215">
        <f t="shared" ref="C119:J119" si="42">SUM(C117:C118)</f>
        <v>1024061</v>
      </c>
      <c r="D119" s="215">
        <f t="shared" si="42"/>
        <v>1212888</v>
      </c>
      <c r="E119" s="216">
        <f t="shared" si="42"/>
        <v>794660</v>
      </c>
      <c r="F119" s="215">
        <f t="shared" si="42"/>
        <v>1041262</v>
      </c>
      <c r="G119" s="215">
        <f t="shared" si="42"/>
        <v>1982036.3900000001</v>
      </c>
      <c r="H119" s="215">
        <f t="shared" si="42"/>
        <v>795951.97</v>
      </c>
      <c r="I119" s="216">
        <f t="shared" si="42"/>
        <v>3819250.36</v>
      </c>
      <c r="J119" s="215">
        <f t="shared" si="42"/>
        <v>7063920.3599999994</v>
      </c>
    </row>
    <row r="120" spans="1:10" ht="21" customHeight="1" x14ac:dyDescent="0.6">
      <c r="B120" s="222"/>
      <c r="C120" s="222"/>
      <c r="D120" s="222"/>
      <c r="E120" s="222">
        <f t="shared" ref="E120:I120" si="43">SUM(E114:E115)</f>
        <v>0</v>
      </c>
      <c r="F120" s="222"/>
      <c r="G120" s="222"/>
      <c r="H120" s="222"/>
      <c r="I120" s="222">
        <f t="shared" si="43"/>
        <v>0</v>
      </c>
      <c r="J120" s="222"/>
    </row>
    <row r="121" spans="1:10" ht="21" customHeight="1" x14ac:dyDescent="0.6">
      <c r="A121" s="194" t="s">
        <v>78</v>
      </c>
      <c r="B121" s="194"/>
      <c r="C121" s="194"/>
      <c r="D121" s="194"/>
      <c r="E121" s="194"/>
      <c r="F121" s="194"/>
      <c r="G121" s="194"/>
      <c r="H121" s="194"/>
      <c r="I121" s="194"/>
      <c r="J121" s="194"/>
    </row>
    <row r="122" spans="1:10" ht="21" customHeight="1" x14ac:dyDescent="0.6">
      <c r="A122" s="194" t="s">
        <v>68</v>
      </c>
      <c r="B122" s="194"/>
      <c r="C122" s="194"/>
      <c r="D122" s="194"/>
      <c r="E122" s="194"/>
      <c r="F122" s="194"/>
      <c r="G122" s="194"/>
      <c r="H122" s="194"/>
      <c r="I122" s="194"/>
      <c r="J122" s="194"/>
    </row>
    <row r="123" spans="1:10" ht="21" customHeight="1" x14ac:dyDescent="0.6">
      <c r="A123" s="197" t="s">
        <v>90</v>
      </c>
      <c r="B123" s="197"/>
      <c r="C123" s="197"/>
      <c r="D123" s="197"/>
      <c r="E123" s="197"/>
      <c r="F123" s="197"/>
      <c r="G123" s="197"/>
      <c r="H123" s="197"/>
      <c r="I123" s="197"/>
      <c r="J123" s="197"/>
    </row>
    <row r="124" spans="1:10" s="195" customFormat="1" ht="33" customHeight="1" x14ac:dyDescent="0.6">
      <c r="A124" s="198" t="s">
        <v>50</v>
      </c>
      <c r="B124" s="199" t="s">
        <v>91</v>
      </c>
      <c r="C124" s="199" t="s">
        <v>92</v>
      </c>
      <c r="D124" s="199" t="s">
        <v>96</v>
      </c>
      <c r="E124" s="199" t="s">
        <v>97</v>
      </c>
      <c r="F124" s="199" t="s">
        <v>93</v>
      </c>
      <c r="G124" s="199" t="s">
        <v>94</v>
      </c>
      <c r="H124" s="199" t="s">
        <v>95</v>
      </c>
      <c r="I124" s="199" t="s">
        <v>31</v>
      </c>
      <c r="J124" s="200" t="s">
        <v>6</v>
      </c>
    </row>
    <row r="125" spans="1:10" ht="19.95" customHeight="1" x14ac:dyDescent="0.6">
      <c r="A125" s="201" t="s">
        <v>10</v>
      </c>
      <c r="B125" s="202"/>
      <c r="C125" s="202"/>
      <c r="D125" s="202"/>
      <c r="E125" s="203"/>
      <c r="F125" s="202"/>
      <c r="G125" s="202"/>
      <c r="H125" s="202"/>
      <c r="I125" s="203"/>
      <c r="J125" s="202"/>
    </row>
    <row r="126" spans="1:10" ht="19.95" customHeight="1" x14ac:dyDescent="0.6">
      <c r="A126" s="204" t="s">
        <v>59</v>
      </c>
      <c r="B126" s="205">
        <f>602373.11+846710</f>
        <v>1449083.1099999999</v>
      </c>
      <c r="C126" s="205">
        <f>590100+846710</f>
        <v>1436810</v>
      </c>
      <c r="D126" s="205">
        <f>635310+942290</f>
        <v>1577600</v>
      </c>
      <c r="E126" s="206"/>
      <c r="F126" s="205">
        <f>613030+878570</f>
        <v>1491600</v>
      </c>
      <c r="G126" s="205">
        <f>1215580+1757140</f>
        <v>2972720</v>
      </c>
      <c r="H126" s="205">
        <f>41846.13</f>
        <v>41846.129999999997</v>
      </c>
      <c r="I126" s="206">
        <f t="shared" ref="I126:I133" si="44">F126+G126+H126</f>
        <v>4506166.13</v>
      </c>
      <c r="J126" s="207">
        <f>B126+C126+D126+F126+G126+H126</f>
        <v>8969659.2400000002</v>
      </c>
    </row>
    <row r="127" spans="1:10" ht="19.95" customHeight="1" x14ac:dyDescent="0.6">
      <c r="A127" s="204" t="s">
        <v>32</v>
      </c>
      <c r="B127" s="205">
        <f>48000+108000</f>
        <v>156000</v>
      </c>
      <c r="C127" s="205">
        <f>48000+108000</f>
        <v>156000</v>
      </c>
      <c r="D127" s="205">
        <f>48000+108000</f>
        <v>156000</v>
      </c>
      <c r="E127" s="206">
        <f t="shared" ref="E127:E131" si="45">B127+C127+D127</f>
        <v>468000</v>
      </c>
      <c r="F127" s="205">
        <f>48000+108000</f>
        <v>156000</v>
      </c>
      <c r="G127" s="205">
        <f>96000+224474.06</f>
        <v>320474.06</v>
      </c>
      <c r="H127" s="205">
        <f>0</f>
        <v>0</v>
      </c>
      <c r="I127" s="206">
        <f t="shared" si="44"/>
        <v>476474.06</v>
      </c>
      <c r="J127" s="207">
        <f>B127+C127+D127+F127+G127+H127</f>
        <v>944474.06</v>
      </c>
    </row>
    <row r="128" spans="1:10" ht="19.95" customHeight="1" x14ac:dyDescent="0.6">
      <c r="A128" s="204" t="s">
        <v>33</v>
      </c>
      <c r="B128" s="205">
        <f>683643+22131</f>
        <v>705774</v>
      </c>
      <c r="C128" s="205">
        <f>87483+95979</f>
        <v>183462</v>
      </c>
      <c r="D128" s="205">
        <f>85603+2357619</f>
        <v>2443222</v>
      </c>
      <c r="E128" s="206">
        <f t="shared" si="45"/>
        <v>3332458</v>
      </c>
      <c r="F128" s="205">
        <f>974649+198568</f>
        <v>1173217</v>
      </c>
      <c r="G128" s="205">
        <f>472551.13+106029</f>
        <v>578580.13</v>
      </c>
      <c r="H128" s="205">
        <f>825758+343259</f>
        <v>1169017</v>
      </c>
      <c r="I128" s="206">
        <f t="shared" si="44"/>
        <v>2920814.13</v>
      </c>
      <c r="J128" s="207">
        <f t="shared" ref="J128:J133" si="46">B128+C128+D128+F128+G128+H128</f>
        <v>6253272.1299999999</v>
      </c>
    </row>
    <row r="129" spans="1:10" ht="19.95" customHeight="1" x14ac:dyDescent="0.6">
      <c r="A129" s="204" t="s">
        <v>34</v>
      </c>
      <c r="B129" s="205">
        <v>0</v>
      </c>
      <c r="C129" s="205">
        <v>0</v>
      </c>
      <c r="D129" s="205">
        <v>0</v>
      </c>
      <c r="E129" s="206">
        <f t="shared" si="45"/>
        <v>0</v>
      </c>
      <c r="F129" s="205">
        <v>0</v>
      </c>
      <c r="G129" s="205">
        <v>0</v>
      </c>
      <c r="H129" s="205">
        <v>0</v>
      </c>
      <c r="I129" s="206">
        <f t="shared" si="44"/>
        <v>0</v>
      </c>
      <c r="J129" s="207">
        <f t="shared" si="46"/>
        <v>0</v>
      </c>
    </row>
    <row r="130" spans="1:10" ht="19.95" customHeight="1" x14ac:dyDescent="0.6">
      <c r="A130" s="204" t="s">
        <v>35</v>
      </c>
      <c r="B130" s="205">
        <v>784000</v>
      </c>
      <c r="C130" s="205">
        <v>0</v>
      </c>
      <c r="D130" s="205">
        <v>0</v>
      </c>
      <c r="E130" s="206">
        <f t="shared" si="45"/>
        <v>784000</v>
      </c>
      <c r="F130" s="205">
        <v>0</v>
      </c>
      <c r="G130" s="205">
        <v>704400</v>
      </c>
      <c r="H130" s="205">
        <v>579000</v>
      </c>
      <c r="I130" s="206">
        <f t="shared" si="44"/>
        <v>1283400</v>
      </c>
      <c r="J130" s="207">
        <f t="shared" si="46"/>
        <v>2067400</v>
      </c>
    </row>
    <row r="131" spans="1:10" ht="19.95" customHeight="1" x14ac:dyDescent="0.6">
      <c r="A131" s="204" t="s">
        <v>36</v>
      </c>
      <c r="B131" s="205">
        <v>0</v>
      </c>
      <c r="C131" s="205">
        <v>3068800</v>
      </c>
      <c r="D131" s="205">
        <v>3769688.7</v>
      </c>
      <c r="E131" s="206">
        <f t="shared" si="45"/>
        <v>6838488.7000000002</v>
      </c>
      <c r="F131" s="205">
        <v>1350000</v>
      </c>
      <c r="G131" s="205">
        <v>2600700</v>
      </c>
      <c r="H131" s="205">
        <v>25731894.489999998</v>
      </c>
      <c r="I131" s="206">
        <f t="shared" si="44"/>
        <v>29682594.489999998</v>
      </c>
      <c r="J131" s="207">
        <f t="shared" si="46"/>
        <v>36521083.189999998</v>
      </c>
    </row>
    <row r="132" spans="1:10" ht="19.95" customHeight="1" x14ac:dyDescent="0.6">
      <c r="A132" s="208" t="s">
        <v>85</v>
      </c>
      <c r="B132" s="217">
        <v>0</v>
      </c>
      <c r="C132" s="217">
        <v>0</v>
      </c>
      <c r="E132" s="219">
        <f>B132+C132+D133</f>
        <v>0</v>
      </c>
      <c r="F132" s="217">
        <v>0</v>
      </c>
      <c r="G132" s="217">
        <v>0</v>
      </c>
      <c r="H132" s="217">
        <v>0</v>
      </c>
      <c r="I132" s="219">
        <f t="shared" si="44"/>
        <v>0</v>
      </c>
      <c r="J132" s="207">
        <f t="shared" si="46"/>
        <v>0</v>
      </c>
    </row>
    <row r="133" spans="1:10" ht="19.95" customHeight="1" x14ac:dyDescent="0.6">
      <c r="A133" s="209" t="s">
        <v>86</v>
      </c>
      <c r="B133" s="220">
        <v>0</v>
      </c>
      <c r="C133" s="220">
        <v>0</v>
      </c>
      <c r="D133" s="217">
        <v>0</v>
      </c>
      <c r="E133" s="210">
        <f>B133+C133</f>
        <v>0</v>
      </c>
      <c r="F133" s="205">
        <v>0</v>
      </c>
      <c r="G133" s="220">
        <v>0</v>
      </c>
      <c r="H133" s="220">
        <v>0</v>
      </c>
      <c r="I133" s="210">
        <f t="shared" si="44"/>
        <v>0</v>
      </c>
      <c r="J133" s="207">
        <f t="shared" si="46"/>
        <v>0</v>
      </c>
    </row>
    <row r="134" spans="1:10" ht="19.95" customHeight="1" thickBot="1" x14ac:dyDescent="0.65">
      <c r="A134" s="211" t="s">
        <v>37</v>
      </c>
      <c r="B134" s="212">
        <f>SUM(B126:B133)</f>
        <v>3094857.11</v>
      </c>
      <c r="C134" s="212">
        <f t="shared" ref="C134" si="47">SUM(C126:C133)</f>
        <v>4845072</v>
      </c>
      <c r="D134" s="212">
        <f>SUM(D126:D133)</f>
        <v>7946510.7000000002</v>
      </c>
      <c r="E134" s="212">
        <f t="shared" ref="E134:I134" si="48">SUM(E126:E133)</f>
        <v>11422946.699999999</v>
      </c>
      <c r="F134" s="212">
        <f t="shared" si="48"/>
        <v>4170817</v>
      </c>
      <c r="G134" s="212">
        <f t="shared" si="48"/>
        <v>7176874.1899999995</v>
      </c>
      <c r="H134" s="212">
        <f t="shared" si="48"/>
        <v>27521757.619999997</v>
      </c>
      <c r="I134" s="212">
        <f t="shared" si="48"/>
        <v>38869448.810000002</v>
      </c>
      <c r="J134" s="212">
        <f>SUM(J126:J133)</f>
        <v>54755888.619999997</v>
      </c>
    </row>
    <row r="135" spans="1:10" ht="19.95" customHeight="1" thickTop="1" x14ac:dyDescent="0.6">
      <c r="A135" s="213" t="s">
        <v>27</v>
      </c>
      <c r="B135" s="214">
        <v>0</v>
      </c>
      <c r="C135" s="214">
        <v>0</v>
      </c>
      <c r="D135" s="214">
        <v>0</v>
      </c>
      <c r="E135" s="214">
        <v>0</v>
      </c>
      <c r="F135" s="214">
        <v>0</v>
      </c>
      <c r="G135" s="214">
        <v>0</v>
      </c>
      <c r="H135" s="214">
        <v>0</v>
      </c>
      <c r="I135" s="214">
        <v>0</v>
      </c>
      <c r="J135" s="214">
        <v>0</v>
      </c>
    </row>
    <row r="136" spans="1:10" ht="19.95" customHeight="1" x14ac:dyDescent="0.6">
      <c r="A136" s="211" t="s">
        <v>6</v>
      </c>
      <c r="B136" s="215">
        <f>SUM(B134:B135)</f>
        <v>3094857.11</v>
      </c>
      <c r="C136" s="215">
        <f t="shared" ref="C136:J136" si="49">SUM(C134:C135)</f>
        <v>4845072</v>
      </c>
      <c r="D136" s="215">
        <f t="shared" si="49"/>
        <v>7946510.7000000002</v>
      </c>
      <c r="E136" s="216">
        <f t="shared" si="49"/>
        <v>11422946.699999999</v>
      </c>
      <c r="F136" s="215">
        <f t="shared" si="49"/>
        <v>4170817</v>
      </c>
      <c r="G136" s="215">
        <f t="shared" si="49"/>
        <v>7176874.1899999995</v>
      </c>
      <c r="H136" s="215">
        <f t="shared" si="49"/>
        <v>27521757.619999997</v>
      </c>
      <c r="I136" s="216">
        <f t="shared" si="49"/>
        <v>38869448.810000002</v>
      </c>
      <c r="J136" s="215">
        <f t="shared" si="49"/>
        <v>54755888.619999997</v>
      </c>
    </row>
    <row r="138" spans="1:10" ht="21" customHeight="1" x14ac:dyDescent="0.6">
      <c r="A138" s="194" t="s">
        <v>78</v>
      </c>
      <c r="B138" s="194"/>
      <c r="C138" s="194"/>
      <c r="D138" s="194"/>
      <c r="E138" s="194"/>
      <c r="F138" s="194"/>
      <c r="G138" s="194"/>
      <c r="H138" s="194"/>
      <c r="I138" s="194"/>
      <c r="J138" s="194"/>
    </row>
    <row r="139" spans="1:10" ht="21" customHeight="1" x14ac:dyDescent="0.6">
      <c r="A139" s="194" t="s">
        <v>69</v>
      </c>
      <c r="B139" s="194"/>
      <c r="C139" s="194"/>
      <c r="D139" s="194"/>
      <c r="E139" s="194"/>
      <c r="F139" s="194"/>
      <c r="G139" s="194"/>
      <c r="H139" s="194"/>
      <c r="I139" s="194"/>
      <c r="J139" s="194"/>
    </row>
    <row r="140" spans="1:10" ht="21" customHeight="1" x14ac:dyDescent="0.6">
      <c r="A140" s="197" t="s">
        <v>90</v>
      </c>
      <c r="B140" s="197"/>
      <c r="C140" s="197"/>
      <c r="D140" s="197"/>
      <c r="E140" s="197"/>
      <c r="F140" s="197"/>
      <c r="G140" s="197"/>
      <c r="H140" s="197"/>
      <c r="I140" s="197"/>
      <c r="J140" s="197"/>
    </row>
    <row r="141" spans="1:10" s="195" customFormat="1" ht="33" customHeight="1" x14ac:dyDescent="0.6">
      <c r="A141" s="198" t="s">
        <v>50</v>
      </c>
      <c r="B141" s="199" t="s">
        <v>91</v>
      </c>
      <c r="C141" s="199" t="s">
        <v>92</v>
      </c>
      <c r="D141" s="199" t="s">
        <v>96</v>
      </c>
      <c r="E141" s="199" t="s">
        <v>97</v>
      </c>
      <c r="F141" s="199" t="s">
        <v>93</v>
      </c>
      <c r="G141" s="199" t="s">
        <v>94</v>
      </c>
      <c r="H141" s="199" t="s">
        <v>95</v>
      </c>
      <c r="I141" s="199" t="s">
        <v>31</v>
      </c>
      <c r="J141" s="200" t="s">
        <v>6</v>
      </c>
    </row>
    <row r="142" spans="1:10" ht="19.95" customHeight="1" x14ac:dyDescent="0.6">
      <c r="A142" s="201" t="s">
        <v>10</v>
      </c>
      <c r="B142" s="202"/>
      <c r="C142" s="202"/>
      <c r="D142" s="202"/>
      <c r="E142" s="203"/>
      <c r="F142" s="202"/>
      <c r="G142" s="202"/>
      <c r="H142" s="202"/>
      <c r="I142" s="203"/>
      <c r="J142" s="202"/>
    </row>
    <row r="143" spans="1:10" ht="19.95" customHeight="1" x14ac:dyDescent="0.6">
      <c r="A143" s="204" t="s">
        <v>59</v>
      </c>
      <c r="B143" s="205">
        <v>351740</v>
      </c>
      <c r="C143" s="205">
        <v>351740</v>
      </c>
      <c r="D143" s="205">
        <v>388520</v>
      </c>
      <c r="E143" s="206"/>
      <c r="F143" s="205">
        <v>381460</v>
      </c>
      <c r="G143" s="205">
        <v>369040</v>
      </c>
      <c r="H143" s="205">
        <v>366700</v>
      </c>
      <c r="I143" s="206">
        <f t="shared" ref="I143:I150" si="50">F143+G143+H143</f>
        <v>1117200</v>
      </c>
      <c r="J143" s="207">
        <f>SUM(B143:H143)</f>
        <v>2209200</v>
      </c>
    </row>
    <row r="144" spans="1:10" ht="19.95" customHeight="1" x14ac:dyDescent="0.6">
      <c r="A144" s="204" t="s">
        <v>32</v>
      </c>
      <c r="B144" s="205">
        <v>24000</v>
      </c>
      <c r="C144" s="205">
        <v>24000</v>
      </c>
      <c r="D144" s="205">
        <v>24000</v>
      </c>
      <c r="E144" s="206">
        <f t="shared" ref="E144:E148" si="51">B144+C144+D144</f>
        <v>72000</v>
      </c>
      <c r="F144" s="205">
        <v>24000</v>
      </c>
      <c r="G144" s="205">
        <v>24000</v>
      </c>
      <c r="H144" s="205">
        <v>24000</v>
      </c>
      <c r="I144" s="206">
        <f t="shared" si="50"/>
        <v>72000</v>
      </c>
      <c r="J144" s="207">
        <f t="shared" ref="J144:J148" si="52">SUM(B144:H144)</f>
        <v>216000</v>
      </c>
    </row>
    <row r="145" spans="1:10" ht="19.95" customHeight="1" x14ac:dyDescent="0.6">
      <c r="A145" s="204" t="s">
        <v>33</v>
      </c>
      <c r="B145" s="205">
        <v>1727691.14</v>
      </c>
      <c r="C145" s="205">
        <v>1283062.1100000001</v>
      </c>
      <c r="D145" s="205">
        <v>1437937</v>
      </c>
      <c r="E145" s="206">
        <f t="shared" si="51"/>
        <v>4448690.25</v>
      </c>
      <c r="F145" s="205">
        <v>1516975.38</v>
      </c>
      <c r="G145" s="205">
        <v>1590023.29</v>
      </c>
      <c r="H145" s="205">
        <v>1998626.42</v>
      </c>
      <c r="I145" s="206">
        <f t="shared" si="50"/>
        <v>5105625.09</v>
      </c>
      <c r="J145" s="207">
        <f t="shared" si="52"/>
        <v>14003005.589999998</v>
      </c>
    </row>
    <row r="146" spans="1:10" ht="19.95" customHeight="1" x14ac:dyDescent="0.6">
      <c r="A146" s="204" t="s">
        <v>34</v>
      </c>
      <c r="B146" s="205">
        <v>2481.5300000000002</v>
      </c>
      <c r="C146" s="205">
        <v>450.52</v>
      </c>
      <c r="D146" s="205">
        <v>4774.8500000000004</v>
      </c>
      <c r="E146" s="206">
        <f t="shared" si="51"/>
        <v>7706.9000000000005</v>
      </c>
      <c r="F146" s="205">
        <v>2109.6999999999998</v>
      </c>
      <c r="G146" s="205">
        <v>1427.66</v>
      </c>
      <c r="H146" s="205">
        <v>1843.29</v>
      </c>
      <c r="I146" s="206">
        <f t="shared" si="50"/>
        <v>5380.65</v>
      </c>
      <c r="J146" s="207">
        <f t="shared" si="52"/>
        <v>20794.45</v>
      </c>
    </row>
    <row r="147" spans="1:10" ht="19.95" customHeight="1" x14ac:dyDescent="0.6">
      <c r="A147" s="204" t="s">
        <v>35</v>
      </c>
      <c r="B147" s="205">
        <v>0</v>
      </c>
      <c r="C147" s="205">
        <v>0</v>
      </c>
      <c r="D147" s="205">
        <v>0</v>
      </c>
      <c r="E147" s="206">
        <f t="shared" si="51"/>
        <v>0</v>
      </c>
      <c r="F147" s="205">
        <v>0</v>
      </c>
      <c r="G147" s="205">
        <v>0</v>
      </c>
      <c r="H147" s="205">
        <v>5000</v>
      </c>
      <c r="I147" s="206">
        <f t="shared" si="50"/>
        <v>5000</v>
      </c>
      <c r="J147" s="207">
        <f t="shared" si="52"/>
        <v>5000</v>
      </c>
    </row>
    <row r="148" spans="1:10" ht="19.95" customHeight="1" x14ac:dyDescent="0.6">
      <c r="A148" s="204" t="s">
        <v>36</v>
      </c>
      <c r="B148" s="205">
        <v>0</v>
      </c>
      <c r="C148" s="205">
        <v>0</v>
      </c>
      <c r="D148" s="205">
        <v>0</v>
      </c>
      <c r="E148" s="206">
        <f t="shared" si="51"/>
        <v>0</v>
      </c>
      <c r="F148" s="205">
        <v>0</v>
      </c>
      <c r="G148" s="205">
        <v>0</v>
      </c>
      <c r="H148" s="205">
        <v>0</v>
      </c>
      <c r="I148" s="206">
        <f t="shared" si="50"/>
        <v>0</v>
      </c>
      <c r="J148" s="207">
        <f t="shared" si="52"/>
        <v>0</v>
      </c>
    </row>
    <row r="149" spans="1:10" ht="19.95" customHeight="1" x14ac:dyDescent="0.6">
      <c r="A149" s="208" t="s">
        <v>85</v>
      </c>
      <c r="B149" s="217">
        <f>B165+B186+B214+B243+B272+B301+B330+B359+B388+B417</f>
        <v>0</v>
      </c>
      <c r="C149" s="217">
        <f>C165+C186+C214+C243+C272+C301+C330+C359+C388+C417</f>
        <v>0</v>
      </c>
      <c r="E149" s="219">
        <f>B149+C149+D149</f>
        <v>0</v>
      </c>
      <c r="F149" s="217">
        <v>0</v>
      </c>
      <c r="G149" s="217">
        <v>0</v>
      </c>
      <c r="H149" s="217">
        <v>0</v>
      </c>
      <c r="I149" s="219">
        <f t="shared" si="50"/>
        <v>0</v>
      </c>
      <c r="J149" s="207">
        <v>0</v>
      </c>
    </row>
    <row r="150" spans="1:10" ht="19.95" customHeight="1" x14ac:dyDescent="0.6">
      <c r="A150" s="209" t="s">
        <v>86</v>
      </c>
      <c r="B150" s="220">
        <v>480939.81</v>
      </c>
      <c r="C150" s="220">
        <v>430274.67</v>
      </c>
      <c r="D150" s="205">
        <v>449564.32</v>
      </c>
      <c r="E150" s="210">
        <f>B150+C150+D150</f>
        <v>1360778.8</v>
      </c>
      <c r="F150" s="205">
        <v>410606.53</v>
      </c>
      <c r="G150" s="220">
        <v>496042.09</v>
      </c>
      <c r="H150" s="220">
        <v>1058489.46</v>
      </c>
      <c r="I150" s="210">
        <f t="shared" si="50"/>
        <v>1965138.08</v>
      </c>
      <c r="J150" s="223">
        <v>2253601.2000000002</v>
      </c>
    </row>
    <row r="151" spans="1:10" ht="19.95" customHeight="1" thickBot="1" x14ac:dyDescent="0.65">
      <c r="A151" s="211" t="s">
        <v>37</v>
      </c>
      <c r="B151" s="212">
        <f>SUM(B143:B150)</f>
        <v>2586852.4799999995</v>
      </c>
      <c r="C151" s="212">
        <f t="shared" ref="C151" si="53">SUM(C143:C150)</f>
        <v>2089527.3</v>
      </c>
      <c r="D151" s="212">
        <f>SUM(D143:D150)</f>
        <v>2304796.17</v>
      </c>
      <c r="E151" s="212">
        <f t="shared" ref="E151:I151" si="54">SUM(E143:E150)</f>
        <v>5889175.9500000002</v>
      </c>
      <c r="F151" s="212">
        <f t="shared" si="54"/>
        <v>2335151.61</v>
      </c>
      <c r="G151" s="212">
        <f t="shared" si="54"/>
        <v>2480533.04</v>
      </c>
      <c r="H151" s="212">
        <f t="shared" si="54"/>
        <v>3454659.17</v>
      </c>
      <c r="I151" s="212">
        <f t="shared" si="54"/>
        <v>8270343.8200000003</v>
      </c>
      <c r="J151" s="212">
        <f>SUM(J143:J150)</f>
        <v>18707601.239999998</v>
      </c>
    </row>
    <row r="152" spans="1:10" ht="19.95" customHeight="1" thickTop="1" x14ac:dyDescent="0.6">
      <c r="A152" s="213" t="s">
        <v>27</v>
      </c>
      <c r="B152" s="214">
        <v>0</v>
      </c>
      <c r="C152" s="214">
        <v>0</v>
      </c>
      <c r="D152" s="214">
        <v>0</v>
      </c>
      <c r="E152" s="214">
        <v>0</v>
      </c>
      <c r="F152" s="214">
        <v>0</v>
      </c>
      <c r="G152" s="214">
        <v>0</v>
      </c>
      <c r="H152" s="214">
        <v>0</v>
      </c>
      <c r="I152" s="214">
        <v>0</v>
      </c>
      <c r="J152" s="214">
        <v>0</v>
      </c>
    </row>
    <row r="153" spans="1:10" ht="19.95" customHeight="1" x14ac:dyDescent="0.6">
      <c r="A153" s="211" t="s">
        <v>6</v>
      </c>
      <c r="B153" s="215">
        <f>SUM(B151:B152)</f>
        <v>2586852.4799999995</v>
      </c>
      <c r="C153" s="215">
        <f t="shared" ref="C153:J153" si="55">SUM(C151:C152)</f>
        <v>2089527.3</v>
      </c>
      <c r="D153" s="215">
        <f t="shared" si="55"/>
        <v>2304796.17</v>
      </c>
      <c r="E153" s="216">
        <f t="shared" si="55"/>
        <v>5889175.9500000002</v>
      </c>
      <c r="F153" s="215">
        <f t="shared" si="55"/>
        <v>2335151.61</v>
      </c>
      <c r="G153" s="215">
        <f t="shared" si="55"/>
        <v>2480533.04</v>
      </c>
      <c r="H153" s="215">
        <f t="shared" si="55"/>
        <v>3454659.17</v>
      </c>
      <c r="I153" s="216">
        <f t="shared" si="55"/>
        <v>8270343.8200000003</v>
      </c>
      <c r="J153" s="215">
        <f t="shared" si="55"/>
        <v>18707601.239999998</v>
      </c>
    </row>
    <row r="155" spans="1:10" ht="21" customHeight="1" x14ac:dyDescent="0.6">
      <c r="A155" s="194" t="s">
        <v>78</v>
      </c>
      <c r="B155" s="194"/>
      <c r="C155" s="194"/>
      <c r="D155" s="194"/>
      <c r="E155" s="194"/>
      <c r="F155" s="194"/>
      <c r="G155" s="194"/>
      <c r="H155" s="194"/>
      <c r="I155" s="194"/>
      <c r="J155" s="194"/>
    </row>
    <row r="156" spans="1:10" ht="21" customHeight="1" x14ac:dyDescent="0.6">
      <c r="A156" s="194" t="s">
        <v>70</v>
      </c>
      <c r="B156" s="194"/>
      <c r="C156" s="194"/>
      <c r="D156" s="194"/>
      <c r="E156" s="194"/>
      <c r="F156" s="194"/>
      <c r="G156" s="194"/>
      <c r="H156" s="194"/>
      <c r="I156" s="194"/>
      <c r="J156" s="194"/>
    </row>
    <row r="157" spans="1:10" ht="21" customHeight="1" x14ac:dyDescent="0.6">
      <c r="A157" s="197" t="s">
        <v>90</v>
      </c>
      <c r="B157" s="197"/>
      <c r="C157" s="197"/>
      <c r="D157" s="197"/>
      <c r="E157" s="197"/>
      <c r="F157" s="197"/>
      <c r="G157" s="197"/>
      <c r="H157" s="197"/>
      <c r="I157" s="197"/>
      <c r="J157" s="197"/>
    </row>
    <row r="158" spans="1:10" s="195" customFormat="1" ht="33" customHeight="1" x14ac:dyDescent="0.6">
      <c r="A158" s="198" t="s">
        <v>50</v>
      </c>
      <c r="B158" s="199" t="s">
        <v>91</v>
      </c>
      <c r="C158" s="199" t="s">
        <v>92</v>
      </c>
      <c r="D158" s="199" t="s">
        <v>96</v>
      </c>
      <c r="E158" s="199" t="s">
        <v>97</v>
      </c>
      <c r="F158" s="199" t="s">
        <v>93</v>
      </c>
      <c r="G158" s="199" t="s">
        <v>94</v>
      </c>
      <c r="H158" s="199" t="s">
        <v>95</v>
      </c>
      <c r="I158" s="199" t="s">
        <v>31</v>
      </c>
      <c r="J158" s="200" t="s">
        <v>6</v>
      </c>
    </row>
    <row r="159" spans="1:10" ht="19.95" customHeight="1" x14ac:dyDescent="0.6">
      <c r="A159" s="201" t="s">
        <v>10</v>
      </c>
      <c r="B159" s="202"/>
      <c r="C159" s="202"/>
      <c r="D159" s="202"/>
      <c r="E159" s="203"/>
      <c r="F159" s="202"/>
      <c r="G159" s="202"/>
      <c r="H159" s="202"/>
      <c r="I159" s="203"/>
      <c r="J159" s="202"/>
    </row>
    <row r="160" spans="1:10" ht="19.95" customHeight="1" x14ac:dyDescent="0.6">
      <c r="A160" s="204" t="s">
        <v>59</v>
      </c>
      <c r="B160" s="205">
        <v>359200</v>
      </c>
      <c r="C160" s="205">
        <v>359200</v>
      </c>
      <c r="D160" s="205">
        <v>400780</v>
      </c>
      <c r="E160" s="206"/>
      <c r="F160" s="205">
        <v>391660</v>
      </c>
      <c r="G160" s="205">
        <v>672500</v>
      </c>
      <c r="H160" s="205">
        <v>86020</v>
      </c>
      <c r="I160" s="206">
        <f t="shared" ref="I160:I167" si="56">F160+G160+H160</f>
        <v>1150180</v>
      </c>
      <c r="J160" s="207">
        <f>SUM(B160:H160)</f>
        <v>2269360</v>
      </c>
    </row>
    <row r="161" spans="1:10" ht="19.95" customHeight="1" x14ac:dyDescent="0.6">
      <c r="A161" s="204" t="s">
        <v>32</v>
      </c>
      <c r="B161" s="205">
        <v>24000</v>
      </c>
      <c r="C161" s="205">
        <v>24000</v>
      </c>
      <c r="D161" s="205">
        <v>24000</v>
      </c>
      <c r="E161" s="206">
        <f t="shared" ref="E161:E165" si="57">B161+C161+D161</f>
        <v>72000</v>
      </c>
      <c r="F161" s="205">
        <v>24000</v>
      </c>
      <c r="G161" s="205">
        <v>48000</v>
      </c>
      <c r="H161" s="205">
        <v>0</v>
      </c>
      <c r="I161" s="206">
        <f t="shared" si="56"/>
        <v>72000</v>
      </c>
      <c r="J161" s="207">
        <f t="shared" ref="J161:J165" si="58">SUM(B161:H161)</f>
        <v>216000</v>
      </c>
    </row>
    <row r="162" spans="1:10" ht="19.95" customHeight="1" x14ac:dyDescent="0.6">
      <c r="A162" s="204" t="s">
        <v>33</v>
      </c>
      <c r="B162" s="205">
        <v>151918</v>
      </c>
      <c r="C162" s="205">
        <v>88051</v>
      </c>
      <c r="D162" s="205">
        <v>199917</v>
      </c>
      <c r="E162" s="206">
        <f t="shared" si="57"/>
        <v>439886</v>
      </c>
      <c r="F162" s="205">
        <v>98010</v>
      </c>
      <c r="G162" s="205">
        <v>70592</v>
      </c>
      <c r="H162" s="205">
        <v>68056</v>
      </c>
      <c r="I162" s="206">
        <f t="shared" si="56"/>
        <v>236658</v>
      </c>
      <c r="J162" s="207">
        <f t="shared" si="58"/>
        <v>1116430</v>
      </c>
    </row>
    <row r="163" spans="1:10" ht="19.95" customHeight="1" x14ac:dyDescent="0.6">
      <c r="A163" s="204" t="s">
        <v>34</v>
      </c>
      <c r="B163" s="205">
        <v>0</v>
      </c>
      <c r="C163" s="205">
        <v>0</v>
      </c>
      <c r="D163" s="205">
        <v>0</v>
      </c>
      <c r="E163" s="206">
        <f t="shared" si="57"/>
        <v>0</v>
      </c>
      <c r="F163" s="205">
        <v>0</v>
      </c>
      <c r="G163" s="205">
        <v>0</v>
      </c>
      <c r="H163" s="205">
        <v>0</v>
      </c>
      <c r="I163" s="206">
        <f t="shared" si="56"/>
        <v>0</v>
      </c>
      <c r="J163" s="207">
        <f t="shared" si="58"/>
        <v>0</v>
      </c>
    </row>
    <row r="164" spans="1:10" ht="19.95" customHeight="1" x14ac:dyDescent="0.6">
      <c r="A164" s="204" t="s">
        <v>35</v>
      </c>
      <c r="B164" s="205">
        <v>0</v>
      </c>
      <c r="C164" s="205">
        <v>0</v>
      </c>
      <c r="D164" s="205">
        <v>0</v>
      </c>
      <c r="E164" s="206">
        <f t="shared" si="57"/>
        <v>0</v>
      </c>
      <c r="F164" s="205">
        <v>81100</v>
      </c>
      <c r="G164" s="205">
        <v>0</v>
      </c>
      <c r="H164" s="205">
        <v>0</v>
      </c>
      <c r="I164" s="206">
        <f t="shared" si="56"/>
        <v>81100</v>
      </c>
      <c r="J164" s="207">
        <f t="shared" si="58"/>
        <v>81100</v>
      </c>
    </row>
    <row r="165" spans="1:10" ht="19.95" customHeight="1" x14ac:dyDescent="0.6">
      <c r="A165" s="204" t="s">
        <v>36</v>
      </c>
      <c r="B165" s="205">
        <f>B181+B213+B242+B271+B300+B329+B358+B387+B416+B445</f>
        <v>0</v>
      </c>
      <c r="C165" s="205">
        <f>C181+C213+C242+C271+C300+C329+C358+C387+C416+C445</f>
        <v>0</v>
      </c>
      <c r="D165" s="205">
        <f>D181+D213+D242+D271+D300+D329+D358+D387+D416+D445</f>
        <v>0</v>
      </c>
      <c r="E165" s="206">
        <f t="shared" si="57"/>
        <v>0</v>
      </c>
      <c r="F165" s="205">
        <v>0</v>
      </c>
      <c r="G165" s="205">
        <v>0</v>
      </c>
      <c r="H165" s="205">
        <v>0</v>
      </c>
      <c r="I165" s="206">
        <f t="shared" si="56"/>
        <v>0</v>
      </c>
      <c r="J165" s="207">
        <f t="shared" si="58"/>
        <v>0</v>
      </c>
    </row>
    <row r="166" spans="1:10" ht="19.95" customHeight="1" x14ac:dyDescent="0.6">
      <c r="A166" s="208" t="s">
        <v>85</v>
      </c>
      <c r="B166" s="217">
        <f>B182+B214+B243+B272+B301+B330+B359+B388+B417+B446</f>
        <v>0</v>
      </c>
      <c r="C166" s="217">
        <f>C182+C214+C243+C272+C301+C330+C359+C388+C417+C446</f>
        <v>0</v>
      </c>
      <c r="E166" s="219">
        <f>B166+C166+D166</f>
        <v>0</v>
      </c>
      <c r="F166" s="217"/>
      <c r="G166" s="217">
        <v>0</v>
      </c>
      <c r="H166" s="217">
        <v>0</v>
      </c>
      <c r="I166" s="219">
        <f t="shared" si="56"/>
        <v>0</v>
      </c>
      <c r="J166" s="207">
        <v>0</v>
      </c>
    </row>
    <row r="167" spans="1:10" ht="19.95" customHeight="1" x14ac:dyDescent="0.6">
      <c r="A167" s="209" t="s">
        <v>86</v>
      </c>
      <c r="B167" s="220">
        <v>29660</v>
      </c>
      <c r="C167" s="220">
        <v>23840</v>
      </c>
      <c r="D167" s="205">
        <v>19300</v>
      </c>
      <c r="E167" s="219">
        <f>B167+C167+D167</f>
        <v>72800</v>
      </c>
      <c r="F167" s="217">
        <v>19900</v>
      </c>
      <c r="G167" s="220">
        <v>79220</v>
      </c>
      <c r="H167" s="220">
        <v>2500</v>
      </c>
      <c r="I167" s="210">
        <f t="shared" si="56"/>
        <v>101620</v>
      </c>
      <c r="J167" s="207">
        <v>109860</v>
      </c>
    </row>
    <row r="168" spans="1:10" ht="19.95" customHeight="1" thickBot="1" x14ac:dyDescent="0.65">
      <c r="A168" s="211" t="s">
        <v>37</v>
      </c>
      <c r="B168" s="212">
        <f>SUM(B160:B167)</f>
        <v>564778</v>
      </c>
      <c r="C168" s="212">
        <f t="shared" ref="C168" si="59">SUM(C160:C167)</f>
        <v>495091</v>
      </c>
      <c r="D168" s="212">
        <f>SUM(D160:D167)</f>
        <v>643997</v>
      </c>
      <c r="E168" s="212">
        <f t="shared" ref="E168:I168" si="60">SUM(E160:E167)</f>
        <v>584686</v>
      </c>
      <c r="F168" s="212">
        <f t="shared" si="60"/>
        <v>614670</v>
      </c>
      <c r="G168" s="212">
        <f t="shared" si="60"/>
        <v>870312</v>
      </c>
      <c r="H168" s="212">
        <f t="shared" si="60"/>
        <v>156576</v>
      </c>
      <c r="I168" s="212">
        <f t="shared" si="60"/>
        <v>1641558</v>
      </c>
      <c r="J168" s="212">
        <f>SUM(J160:J167)</f>
        <v>3792750</v>
      </c>
    </row>
    <row r="169" spans="1:10" ht="19.95" customHeight="1" thickTop="1" x14ac:dyDescent="0.6">
      <c r="A169" s="213" t="s">
        <v>27</v>
      </c>
      <c r="B169" s="214">
        <v>0</v>
      </c>
      <c r="C169" s="214">
        <v>0</v>
      </c>
      <c r="D169" s="214">
        <v>0</v>
      </c>
      <c r="E169" s="214">
        <v>0</v>
      </c>
      <c r="F169" s="214">
        <v>0</v>
      </c>
      <c r="G169" s="214">
        <v>0</v>
      </c>
      <c r="H169" s="214">
        <v>0</v>
      </c>
      <c r="I169" s="214">
        <v>0</v>
      </c>
      <c r="J169" s="214">
        <v>0</v>
      </c>
    </row>
    <row r="170" spans="1:10" ht="19.95" customHeight="1" x14ac:dyDescent="0.6">
      <c r="A170" s="211" t="s">
        <v>6</v>
      </c>
      <c r="B170" s="215">
        <f>SUM(B168:B169)</f>
        <v>564778</v>
      </c>
      <c r="C170" s="215">
        <f t="shared" ref="C170:J170" si="61">SUM(C168:C169)</f>
        <v>495091</v>
      </c>
      <c r="D170" s="215">
        <f t="shared" si="61"/>
        <v>643997</v>
      </c>
      <c r="E170" s="216">
        <f t="shared" si="61"/>
        <v>584686</v>
      </c>
      <c r="F170" s="215">
        <f t="shared" si="61"/>
        <v>614670</v>
      </c>
      <c r="G170" s="215">
        <f t="shared" si="61"/>
        <v>870312</v>
      </c>
      <c r="H170" s="215">
        <f t="shared" si="61"/>
        <v>156576</v>
      </c>
      <c r="I170" s="216">
        <f t="shared" si="61"/>
        <v>1641558</v>
      </c>
      <c r="J170" s="215">
        <f t="shared" si="61"/>
        <v>3792750</v>
      </c>
    </row>
    <row r="172" spans="1:10" ht="21" customHeight="1" x14ac:dyDescent="0.6">
      <c r="A172" s="194" t="s">
        <v>78</v>
      </c>
      <c r="B172" s="194"/>
      <c r="C172" s="194"/>
      <c r="D172" s="194"/>
      <c r="E172" s="194"/>
      <c r="F172" s="194"/>
      <c r="G172" s="194"/>
      <c r="H172" s="194"/>
      <c r="I172" s="194"/>
      <c r="J172" s="194"/>
    </row>
    <row r="173" spans="1:10" ht="21" customHeight="1" x14ac:dyDescent="0.6">
      <c r="A173" s="194" t="s">
        <v>22</v>
      </c>
      <c r="B173" s="194"/>
      <c r="C173" s="194"/>
      <c r="D173" s="194"/>
      <c r="E173" s="194"/>
      <c r="F173" s="194"/>
      <c r="G173" s="194"/>
      <c r="H173" s="194"/>
      <c r="I173" s="194"/>
      <c r="J173" s="194"/>
    </row>
    <row r="174" spans="1:10" ht="21" customHeight="1" x14ac:dyDescent="0.6">
      <c r="A174" s="194" t="s">
        <v>90</v>
      </c>
      <c r="B174" s="194"/>
      <c r="C174" s="194"/>
      <c r="D174" s="194"/>
      <c r="E174" s="194"/>
      <c r="F174" s="194"/>
      <c r="G174" s="194"/>
      <c r="H174" s="194"/>
      <c r="I174" s="194"/>
      <c r="J174" s="194"/>
    </row>
    <row r="175" spans="1:10" s="195" customFormat="1" ht="33" customHeight="1" x14ac:dyDescent="0.6">
      <c r="A175" s="198" t="s">
        <v>50</v>
      </c>
      <c r="B175" s="199" t="s">
        <v>91</v>
      </c>
      <c r="C175" s="199" t="s">
        <v>92</v>
      </c>
      <c r="D175" s="199" t="s">
        <v>96</v>
      </c>
      <c r="E175" s="199" t="s">
        <v>97</v>
      </c>
      <c r="F175" s="199" t="s">
        <v>93</v>
      </c>
      <c r="G175" s="199" t="s">
        <v>94</v>
      </c>
      <c r="H175" s="199" t="s">
        <v>95</v>
      </c>
      <c r="I175" s="199" t="s">
        <v>31</v>
      </c>
      <c r="J175" s="200" t="s">
        <v>6</v>
      </c>
    </row>
    <row r="176" spans="1:10" ht="19.95" customHeight="1" x14ac:dyDescent="0.6">
      <c r="A176" s="201" t="s">
        <v>10</v>
      </c>
      <c r="B176" s="202"/>
      <c r="C176" s="202"/>
      <c r="D176" s="202"/>
      <c r="E176" s="203"/>
      <c r="F176" s="202"/>
      <c r="G176" s="202"/>
      <c r="H176" s="202"/>
      <c r="I176" s="203"/>
      <c r="J176" s="202"/>
    </row>
    <row r="177" spans="1:10" ht="19.95" customHeight="1" x14ac:dyDescent="0.6">
      <c r="A177" s="204" t="s">
        <v>59</v>
      </c>
      <c r="B177" s="205">
        <v>718230</v>
      </c>
      <c r="C177" s="205">
        <v>709540</v>
      </c>
      <c r="D177" s="205">
        <v>757630</v>
      </c>
      <c r="E177" s="206"/>
      <c r="F177" s="205">
        <v>890450</v>
      </c>
      <c r="G177" s="205">
        <v>757065</v>
      </c>
      <c r="H177" s="205">
        <v>793783.26</v>
      </c>
      <c r="I177" s="206">
        <f t="shared" ref="I177:I184" si="62">F177+G177+H177</f>
        <v>2441298.2599999998</v>
      </c>
      <c r="J177" s="207">
        <f>B177+C177+D177+F177+G177+H177</f>
        <v>4626698.26</v>
      </c>
    </row>
    <row r="178" spans="1:10" ht="19.95" customHeight="1" x14ac:dyDescent="0.6">
      <c r="A178" s="204" t="s">
        <v>32</v>
      </c>
      <c r="B178" s="205">
        <v>504000</v>
      </c>
      <c r="C178" s="205">
        <v>483482.9</v>
      </c>
      <c r="D178" s="205">
        <v>480000</v>
      </c>
      <c r="E178" s="206">
        <f t="shared" ref="E178:E182" si="63">B178+C178+D178</f>
        <v>1467482.9</v>
      </c>
      <c r="F178" s="205">
        <v>480000</v>
      </c>
      <c r="G178" s="205">
        <v>480000</v>
      </c>
      <c r="H178" s="205">
        <v>537195.31000000006</v>
      </c>
      <c r="I178" s="206">
        <f t="shared" si="62"/>
        <v>1497195.31</v>
      </c>
      <c r="J178" s="207">
        <f t="shared" ref="J178:J184" si="64">B178+C178+D178+F178+G178+H178</f>
        <v>2964678.21</v>
      </c>
    </row>
    <row r="179" spans="1:10" ht="19.95" customHeight="1" x14ac:dyDescent="0.6">
      <c r="A179" s="204" t="s">
        <v>33</v>
      </c>
      <c r="B179" s="205">
        <v>1781652.34</v>
      </c>
      <c r="C179" s="205">
        <v>966341.67</v>
      </c>
      <c r="D179" s="205">
        <v>2997182</v>
      </c>
      <c r="E179" s="206">
        <f t="shared" si="63"/>
        <v>5745176.0099999998</v>
      </c>
      <c r="F179" s="205">
        <v>3452126.34</v>
      </c>
      <c r="G179" s="205">
        <v>2168746.67</v>
      </c>
      <c r="H179" s="205">
        <v>3460694.2</v>
      </c>
      <c r="I179" s="206">
        <f t="shared" si="62"/>
        <v>9081567.2100000009</v>
      </c>
      <c r="J179" s="207">
        <f t="shared" si="64"/>
        <v>14826743.219999999</v>
      </c>
    </row>
    <row r="180" spans="1:10" ht="19.95" customHeight="1" x14ac:dyDescent="0.6">
      <c r="A180" s="204" t="s">
        <v>34</v>
      </c>
      <c r="B180" s="205">
        <v>659366.34</v>
      </c>
      <c r="C180" s="205">
        <v>48451.66</v>
      </c>
      <c r="D180" s="205">
        <v>28416.3</v>
      </c>
      <c r="E180" s="206">
        <f t="shared" si="63"/>
        <v>736234.3</v>
      </c>
      <c r="F180" s="205">
        <v>70161.009999999995</v>
      </c>
      <c r="G180" s="205">
        <v>76823.740000000005</v>
      </c>
      <c r="H180" s="205">
        <v>5223.75</v>
      </c>
      <c r="I180" s="206">
        <f t="shared" si="62"/>
        <v>152208.5</v>
      </c>
      <c r="J180" s="207">
        <f t="shared" si="64"/>
        <v>888442.8</v>
      </c>
    </row>
    <row r="181" spans="1:10" ht="19.95" customHeight="1" x14ac:dyDescent="0.6">
      <c r="A181" s="204" t="s">
        <v>35</v>
      </c>
      <c r="B181" s="205">
        <v>0</v>
      </c>
      <c r="C181" s="205">
        <f t="shared" ref="C181" si="65">C208+C241+C270+C299+C328+C357+C386+C415+C444+C473</f>
        <v>0</v>
      </c>
      <c r="D181" s="205">
        <v>0</v>
      </c>
      <c r="E181" s="206">
        <f t="shared" si="63"/>
        <v>0</v>
      </c>
      <c r="F181" s="205">
        <v>20099201</v>
      </c>
      <c r="G181" s="205">
        <v>0</v>
      </c>
      <c r="H181" s="205">
        <v>2601047</v>
      </c>
      <c r="I181" s="206">
        <f t="shared" si="62"/>
        <v>22700248</v>
      </c>
      <c r="J181" s="207">
        <f t="shared" si="64"/>
        <v>22700248</v>
      </c>
    </row>
    <row r="182" spans="1:10" ht="19.95" customHeight="1" x14ac:dyDescent="0.6">
      <c r="A182" s="204" t="s">
        <v>36</v>
      </c>
      <c r="B182" s="205">
        <f t="shared" ref="B182:C182" si="66">B209+B242+B271+B300+B329+B358+B387+B416+B445+B474</f>
        <v>0</v>
      </c>
      <c r="C182" s="205">
        <f t="shared" si="66"/>
        <v>0</v>
      </c>
      <c r="D182" s="205">
        <v>3750100</v>
      </c>
      <c r="E182" s="206">
        <f t="shared" si="63"/>
        <v>3750100</v>
      </c>
      <c r="F182" s="205">
        <f>F209+F242+F271+F300+F329+F358+F387+F416+F445+F474</f>
        <v>0</v>
      </c>
      <c r="G182" s="205">
        <v>807000</v>
      </c>
      <c r="H182" s="205">
        <v>4709106.17</v>
      </c>
      <c r="I182" s="206">
        <f t="shared" si="62"/>
        <v>5516106.1699999999</v>
      </c>
      <c r="J182" s="207">
        <f t="shared" si="64"/>
        <v>9266206.1699999999</v>
      </c>
    </row>
    <row r="183" spans="1:10" ht="19.95" customHeight="1" x14ac:dyDescent="0.6">
      <c r="A183" s="208" t="s">
        <v>85</v>
      </c>
      <c r="B183" s="205">
        <v>2132555</v>
      </c>
      <c r="C183" s="205">
        <v>434729.9</v>
      </c>
      <c r="D183" s="218">
        <v>951654</v>
      </c>
      <c r="E183" s="219">
        <f>B183+C183+D183</f>
        <v>3518938.9</v>
      </c>
      <c r="F183" s="205">
        <v>1116570</v>
      </c>
      <c r="G183" s="205">
        <v>2889692</v>
      </c>
      <c r="H183" s="205">
        <v>5549282</v>
      </c>
      <c r="I183" s="219">
        <f t="shared" si="62"/>
        <v>9555544</v>
      </c>
      <c r="J183" s="207">
        <f t="shared" si="64"/>
        <v>13074482.9</v>
      </c>
    </row>
    <row r="184" spans="1:10" ht="19.95" customHeight="1" x14ac:dyDescent="0.6">
      <c r="A184" s="209" t="s">
        <v>86</v>
      </c>
      <c r="B184" s="220">
        <v>423130</v>
      </c>
      <c r="C184" s="220">
        <v>396000</v>
      </c>
      <c r="D184" s="205">
        <v>483940</v>
      </c>
      <c r="E184" s="219">
        <f>B184+C184+D184</f>
        <v>1303070</v>
      </c>
      <c r="F184" s="205">
        <v>147600</v>
      </c>
      <c r="G184" s="220">
        <v>421342</v>
      </c>
      <c r="H184" s="220">
        <v>3764313</v>
      </c>
      <c r="I184" s="210">
        <f t="shared" si="62"/>
        <v>4333255</v>
      </c>
      <c r="J184" s="207">
        <f t="shared" si="64"/>
        <v>5636325</v>
      </c>
    </row>
    <row r="185" spans="1:10" ht="19.95" customHeight="1" thickBot="1" x14ac:dyDescent="0.65">
      <c r="A185" s="211" t="s">
        <v>37</v>
      </c>
      <c r="B185" s="212">
        <f>SUM(B177:B184)</f>
        <v>6218933.6799999997</v>
      </c>
      <c r="C185" s="212">
        <f t="shared" ref="C185" si="67">SUM(C177:C184)</f>
        <v>3038546.13</v>
      </c>
      <c r="D185" s="212">
        <f>SUM(D177:D184)</f>
        <v>9448922.3000000007</v>
      </c>
      <c r="E185" s="212">
        <f t="shared" ref="E185:I185" si="68">SUM(E177:E184)</f>
        <v>16521002.110000001</v>
      </c>
      <c r="F185" s="212">
        <f t="shared" si="68"/>
        <v>26256108.350000001</v>
      </c>
      <c r="G185" s="212">
        <f t="shared" si="68"/>
        <v>7600669.4100000001</v>
      </c>
      <c r="H185" s="212">
        <f t="shared" si="68"/>
        <v>21420644.690000001</v>
      </c>
      <c r="I185" s="212">
        <f t="shared" si="68"/>
        <v>55277422.450000003</v>
      </c>
      <c r="J185" s="212">
        <f>SUM(J177:J184)</f>
        <v>73983824.560000002</v>
      </c>
    </row>
    <row r="186" spans="1:10" ht="19.95" customHeight="1" thickTop="1" x14ac:dyDescent="0.6">
      <c r="A186" s="213" t="s">
        <v>27</v>
      </c>
      <c r="B186" s="214">
        <v>0</v>
      </c>
      <c r="C186" s="214">
        <v>0</v>
      </c>
      <c r="D186" s="214">
        <v>0</v>
      </c>
      <c r="E186" s="214">
        <v>0</v>
      </c>
      <c r="F186" s="214">
        <v>0</v>
      </c>
      <c r="G186" s="214">
        <v>0</v>
      </c>
      <c r="H186" s="214">
        <v>0</v>
      </c>
      <c r="I186" s="214">
        <v>0</v>
      </c>
      <c r="J186" s="214">
        <v>0</v>
      </c>
    </row>
    <row r="187" spans="1:10" ht="19.95" customHeight="1" x14ac:dyDescent="0.6">
      <c r="A187" s="211" t="s">
        <v>6</v>
      </c>
      <c r="B187" s="215">
        <f>SUM(B185:B186)</f>
        <v>6218933.6799999997</v>
      </c>
      <c r="C187" s="215">
        <f t="shared" ref="C187:J187" si="69">SUM(C185:C186)</f>
        <v>3038546.13</v>
      </c>
      <c r="D187" s="215">
        <f t="shared" si="69"/>
        <v>9448922.3000000007</v>
      </c>
      <c r="E187" s="216">
        <f t="shared" si="69"/>
        <v>16521002.110000001</v>
      </c>
      <c r="F187" s="215">
        <f t="shared" si="69"/>
        <v>26256108.350000001</v>
      </c>
      <c r="G187" s="215">
        <f t="shared" si="69"/>
        <v>7600669.4100000001</v>
      </c>
      <c r="H187" s="215">
        <f t="shared" si="69"/>
        <v>21420644.690000001</v>
      </c>
      <c r="I187" s="216">
        <f t="shared" si="69"/>
        <v>55277422.450000003</v>
      </c>
      <c r="J187" s="215">
        <f t="shared" si="69"/>
        <v>73983824.560000002</v>
      </c>
    </row>
  </sheetData>
  <mergeCells count="34">
    <mergeCell ref="A174:J174"/>
    <mergeCell ref="A138:J138"/>
    <mergeCell ref="A139:J139"/>
    <mergeCell ref="A140:J140"/>
    <mergeCell ref="A155:J155"/>
    <mergeCell ref="A156:J156"/>
    <mergeCell ref="A157:J157"/>
    <mergeCell ref="A121:J121"/>
    <mergeCell ref="A122:J122"/>
    <mergeCell ref="A123:J123"/>
    <mergeCell ref="A172:J172"/>
    <mergeCell ref="A173:J173"/>
    <mergeCell ref="A88:J88"/>
    <mergeCell ref="A89:J89"/>
    <mergeCell ref="A104:J104"/>
    <mergeCell ref="A105:J105"/>
    <mergeCell ref="A106:J106"/>
    <mergeCell ref="A55:J55"/>
    <mergeCell ref="A70:J70"/>
    <mergeCell ref="A71:J71"/>
    <mergeCell ref="A72:J72"/>
    <mergeCell ref="A87:J87"/>
    <mergeCell ref="A36:J36"/>
    <mergeCell ref="A37:J37"/>
    <mergeCell ref="A38:J38"/>
    <mergeCell ref="A53:J53"/>
    <mergeCell ref="A54:J54"/>
    <mergeCell ref="A21:J21"/>
    <mergeCell ref="A1:J1"/>
    <mergeCell ref="A2:J2"/>
    <mergeCell ref="A3:J3"/>
    <mergeCell ref="A19:J19"/>
    <mergeCell ref="A20:J20"/>
    <mergeCell ref="A4:J4"/>
  </mergeCells>
  <phoneticPr fontId="25" type="noConversion"/>
  <printOptions horizontalCentered="1"/>
  <pageMargins left="0.11811023622047245" right="0.11811023622047245" top="0.51181102362204722" bottom="0.11811023622047245" header="0.31496062992125984" footer="0.31496062992125984"/>
  <pageSetup paperSize="9" scale="86" orientation="landscape" r:id="rId1"/>
  <rowBreaks count="10" manualBreakCount="10">
    <brk id="18" max="16383" man="1"/>
    <brk id="35" max="16383" man="1"/>
    <brk id="52" max="16383" man="1"/>
    <brk id="69" max="16383" man="1"/>
    <brk id="86" max="16383" man="1"/>
    <brk id="103" max="16383" man="1"/>
    <brk id="120" max="16383" man="1"/>
    <brk id="137" max="16383" man="1"/>
    <brk id="154" max="16383" man="1"/>
    <brk id="1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FAC21-777B-4C93-9A89-6F2532855DA2}">
  <sheetPr>
    <tabColor theme="6" tint="-0.249977111117893"/>
  </sheetPr>
  <dimension ref="A1:K299"/>
  <sheetViews>
    <sheetView view="pageBreakPreview" zoomScale="120" zoomScaleNormal="87" zoomScaleSheetLayoutView="120" workbookViewId="0">
      <selection activeCell="G7" sqref="G7"/>
    </sheetView>
  </sheetViews>
  <sheetFormatPr defaultColWidth="11.125" defaultRowHeight="21" customHeight="1" x14ac:dyDescent="0.6"/>
  <cols>
    <col min="1" max="1" width="30" style="7" customWidth="1"/>
    <col min="2" max="4" width="18.125" style="19" customWidth="1"/>
    <col min="5" max="5" width="18.125" style="19" hidden="1" customWidth="1"/>
    <col min="6" max="8" width="18.125" style="19" customWidth="1"/>
    <col min="9" max="9" width="18.125" style="19" hidden="1" customWidth="1"/>
    <col min="10" max="10" width="18.125" style="19" customWidth="1"/>
    <col min="11" max="11" width="13.875" style="6" customWidth="1"/>
    <col min="12" max="13" width="13.875" style="7" customWidth="1"/>
    <col min="14" max="16384" width="11.125" style="7"/>
  </cols>
  <sheetData>
    <row r="1" spans="1:10" ht="21" customHeight="1" x14ac:dyDescent="0.6">
      <c r="A1" s="80" t="s">
        <v>24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21" customHeight="1" x14ac:dyDescent="0.6">
      <c r="A2" s="80" t="s">
        <v>78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ht="21" customHeight="1" x14ac:dyDescent="0.6">
      <c r="A3" s="80" t="s">
        <v>79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ht="21" customHeight="1" x14ac:dyDescent="0.6">
      <c r="A4" s="79" t="s">
        <v>90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s="6" customFormat="1" ht="33" customHeight="1" x14ac:dyDescent="0.6">
      <c r="A5" s="3" t="s">
        <v>50</v>
      </c>
      <c r="B5" s="4" t="s">
        <v>51</v>
      </c>
      <c r="C5" s="4" t="s">
        <v>52</v>
      </c>
      <c r="D5" s="4" t="s">
        <v>53</v>
      </c>
      <c r="E5" s="4" t="s">
        <v>30</v>
      </c>
      <c r="F5" s="4" t="s">
        <v>54</v>
      </c>
      <c r="G5" s="4" t="s">
        <v>55</v>
      </c>
      <c r="H5" s="4" t="s">
        <v>56</v>
      </c>
      <c r="I5" s="4" t="s">
        <v>31</v>
      </c>
      <c r="J5" s="5" t="s">
        <v>6</v>
      </c>
    </row>
    <row r="6" spans="1:10" ht="19.95" customHeight="1" x14ac:dyDescent="0.6">
      <c r="A6" s="8" t="s">
        <v>10</v>
      </c>
      <c r="B6" s="9"/>
      <c r="C6" s="9"/>
      <c r="D6" s="9"/>
      <c r="E6" s="10"/>
      <c r="F6" s="9"/>
      <c r="G6" s="9"/>
      <c r="H6" s="9"/>
      <c r="I6" s="10"/>
      <c r="J6" s="9"/>
    </row>
    <row r="7" spans="1:10" ht="19.95" customHeight="1" x14ac:dyDescent="0.6">
      <c r="A7" s="13" t="s">
        <v>59</v>
      </c>
      <c r="B7" s="27">
        <f>719446.77+502461.61+280430+310760+4067910.65+737239.35+1426520+330930+321760+654090</f>
        <v>9351548.379999999</v>
      </c>
      <c r="C7" s="27">
        <f>766674.2+502000+273380+310760+4009382+797715.34+1426520+330930+324028+762440</f>
        <v>9503829.5399999991</v>
      </c>
      <c r="D7" s="27">
        <f>881510+556870+241310.13+321490+4858940.67+876800+1561830+369130+367878.67+708265</f>
        <v>10744024.470000001</v>
      </c>
      <c r="E7" s="12"/>
      <c r="F7" s="27">
        <f>808790+486180+242300+297230+4343504.19+832036+1438445.66+356717.73+361374.06+715665</f>
        <v>9882242.6400000006</v>
      </c>
      <c r="G7" s="27">
        <f>796130+486180+269100+297230+4334710+816047.59+1395190+357150+353760+722205</f>
        <v>9827702.5899999999</v>
      </c>
      <c r="H7" s="27">
        <f>771150.69+525378.71+319490.69+297230+4309652.41+802770+1439680+357150+354600+764808.41</f>
        <v>9941910.9100000001</v>
      </c>
      <c r="I7" s="12"/>
      <c r="J7" s="28">
        <f>SUM(B7:H7)</f>
        <v>59251258.530000001</v>
      </c>
    </row>
    <row r="8" spans="1:10" ht="19.95" customHeight="1" x14ac:dyDescent="0.6">
      <c r="A8" s="13" t="s">
        <v>32</v>
      </c>
      <c r="B8" s="27">
        <f>12000+12000+1751611.68+12000+168000+36000+24000+444000</f>
        <v>2459611.6799999997</v>
      </c>
      <c r="C8" s="27">
        <f>12000+12000+1752000+12000+180000+36000+24000+468000</f>
        <v>2496000</v>
      </c>
      <c r="D8" s="27">
        <f>12000+12000+1734536.61+12000+180000+36000+24000+480000</f>
        <v>2490536.6100000003</v>
      </c>
      <c r="E8" s="12"/>
      <c r="F8" s="27">
        <f>12000+12000+1801140.56+12000+191611.68+24000+24000+480000</f>
        <v>2556752.2400000002</v>
      </c>
      <c r="G8" s="27">
        <f>12000+12000+1824000+12000+188903.23+24000+24000+480000</f>
        <v>2576903.23</v>
      </c>
      <c r="H8" s="27">
        <f>12000+12000+1772035.62+12000+180000+24000+24000+504000</f>
        <v>2540035.62</v>
      </c>
      <c r="I8" s="12"/>
      <c r="J8" s="28">
        <f>SUM(B8:H8)</f>
        <v>15119839.380000003</v>
      </c>
    </row>
    <row r="9" spans="1:10" ht="19.95" customHeight="1" x14ac:dyDescent="0.6">
      <c r="A9" s="13" t="s">
        <v>33</v>
      </c>
      <c r="B9" s="27">
        <v>1191200</v>
      </c>
      <c r="C9" s="27">
        <f>148850+63900+28120+66000+1524727+220111+382033+1516347.02+68551+97086</f>
        <v>4115725.02</v>
      </c>
      <c r="D9" s="27">
        <f>124980+70470+28600+74800+1244318+199531-23629+1642614.62+71071+1740588</f>
        <v>5173343.62</v>
      </c>
      <c r="E9" s="12"/>
      <c r="F9" s="27">
        <f>417665.7+68670+87960+73400+1555521+244021+308414+2045460.75+94321+1683189</f>
        <v>6578622.4500000002</v>
      </c>
      <c r="G9" s="27">
        <f>118670+68080+84870+86300+1309056+197895.69+2101652.87+1350795.91+131839+1299089</f>
        <v>6748248.4699999997</v>
      </c>
      <c r="H9" s="27">
        <f>750085.01+61850+34092+110700+1473119+219231+4055130+1459446+103841+2643891.34</f>
        <v>10911385.35</v>
      </c>
      <c r="I9" s="12"/>
      <c r="J9" s="28">
        <f>SUM(B9:H9)</f>
        <v>34718524.909999996</v>
      </c>
    </row>
    <row r="10" spans="1:10" ht="19.95" customHeight="1" x14ac:dyDescent="0.6">
      <c r="A10" s="13" t="s">
        <v>34</v>
      </c>
      <c r="B10" s="27">
        <f>679180.1+20097.32+120532+2140.13+1241220.68</f>
        <v>2063170.23</v>
      </c>
      <c r="C10" s="27">
        <f>296343.26+11646.34+833+2118.92+319015.82</f>
        <v>629957.34000000008</v>
      </c>
      <c r="D10" s="27">
        <f>56227.81+7580+2950+247.54+44429.52</f>
        <v>111434.87</v>
      </c>
      <c r="E10" s="12"/>
      <c r="F10" s="27">
        <f>484300.39+17828.78+787+3294.38+998815.26</f>
        <v>1505025.81</v>
      </c>
      <c r="G10" s="27">
        <f>306543.01+11173.78+1978.73+563004.27</f>
        <v>882699.79</v>
      </c>
      <c r="H10" s="27">
        <f>64946.4+15243.37+149931+2114.52+626977.97</f>
        <v>859213.26</v>
      </c>
      <c r="I10" s="12"/>
      <c r="J10" s="28">
        <f>SUM(B10:H10)</f>
        <v>6051501.2999999998</v>
      </c>
    </row>
    <row r="11" spans="1:10" ht="19.95" customHeight="1" x14ac:dyDescent="0.6">
      <c r="A11" s="13" t="s">
        <v>35</v>
      </c>
      <c r="B11" s="27"/>
      <c r="C11" s="27"/>
      <c r="D11" s="27"/>
      <c r="E11" s="12"/>
      <c r="F11" s="27"/>
      <c r="G11" s="27">
        <v>825000</v>
      </c>
      <c r="H11" s="27"/>
      <c r="I11" s="12"/>
      <c r="J11" s="28">
        <f>SUM(B11:H11)</f>
        <v>825000</v>
      </c>
    </row>
    <row r="12" spans="1:10" ht="19.95" customHeight="1" x14ac:dyDescent="0.6">
      <c r="A12" s="13" t="s">
        <v>36</v>
      </c>
      <c r="B12" s="27"/>
      <c r="C12" s="27"/>
      <c r="D12" s="27"/>
      <c r="E12" s="12"/>
      <c r="F12" s="27"/>
      <c r="G12" s="27"/>
      <c r="H12" s="27"/>
      <c r="I12" s="12"/>
      <c r="J12" s="28">
        <f t="shared" ref="J12" si="0">SUM(B12:H12)</f>
        <v>0</v>
      </c>
    </row>
    <row r="13" spans="1:10" ht="19.95" customHeight="1" x14ac:dyDescent="0.6">
      <c r="A13" s="14" t="s">
        <v>85</v>
      </c>
      <c r="B13" s="30"/>
      <c r="C13" s="27">
        <v>697590</v>
      </c>
      <c r="D13" s="27">
        <v>1945165</v>
      </c>
      <c r="E13" s="12"/>
      <c r="F13" s="27">
        <v>1574242</v>
      </c>
      <c r="G13" s="27">
        <v>833918</v>
      </c>
      <c r="H13" s="27">
        <v>4066806</v>
      </c>
      <c r="I13" s="12"/>
      <c r="J13" s="28">
        <f>SUM(B13:H13)</f>
        <v>9117721</v>
      </c>
    </row>
    <row r="14" spans="1:10" ht="19.95" customHeight="1" x14ac:dyDescent="0.6">
      <c r="A14" s="15" t="s">
        <v>86</v>
      </c>
      <c r="B14" s="67"/>
      <c r="C14" s="67">
        <v>377527.08</v>
      </c>
      <c r="D14" s="67">
        <f>422177.57+23980</f>
        <v>446157.57</v>
      </c>
      <c r="E14" s="68"/>
      <c r="F14" s="27">
        <f>246000+385256.92+20120+43600</f>
        <v>694976.91999999993</v>
      </c>
      <c r="G14" s="67">
        <f>863560+365321.63+34080+4500</f>
        <v>1267461.6299999999</v>
      </c>
      <c r="H14" s="67">
        <f>12850+703318+31680+179100</f>
        <v>926948</v>
      </c>
      <c r="I14" s="68"/>
      <c r="J14" s="28">
        <f>SUM(B14:H14)</f>
        <v>3713071.1999999997</v>
      </c>
    </row>
    <row r="15" spans="1:10" ht="19.95" customHeight="1" thickBot="1" x14ac:dyDescent="0.65">
      <c r="A15" s="16" t="s">
        <v>37</v>
      </c>
      <c r="B15" s="25">
        <f>SUM(B7:B14)</f>
        <v>15065530.289999999</v>
      </c>
      <c r="C15" s="25">
        <f t="shared" ref="C15:I15" si="1">SUM(C7:C14)</f>
        <v>17820628.979999997</v>
      </c>
      <c r="D15" s="25">
        <f t="shared" si="1"/>
        <v>20910662.140000004</v>
      </c>
      <c r="E15" s="25">
        <f t="shared" si="1"/>
        <v>0</v>
      </c>
      <c r="F15" s="25">
        <f t="shared" si="1"/>
        <v>22791862.060000002</v>
      </c>
      <c r="G15" s="25">
        <f t="shared" si="1"/>
        <v>22961933.709999997</v>
      </c>
      <c r="H15" s="25">
        <f>SUM(H7:H14)</f>
        <v>29246299.140000004</v>
      </c>
      <c r="I15" s="25">
        <f t="shared" si="1"/>
        <v>0</v>
      </c>
      <c r="J15" s="25">
        <f>SUM(J7:J14)</f>
        <v>128796916.31999999</v>
      </c>
    </row>
    <row r="16" spans="1:10" ht="19.95" customHeight="1" thickTop="1" x14ac:dyDescent="0.6">
      <c r="A16" s="11" t="s">
        <v>27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</row>
    <row r="17" spans="1:10" ht="19.95" customHeight="1" x14ac:dyDescent="0.6">
      <c r="A17" s="16" t="s">
        <v>38</v>
      </c>
      <c r="B17" s="17">
        <f>SUM(B15:B16)</f>
        <v>15065530.289999999</v>
      </c>
      <c r="C17" s="17">
        <f t="shared" ref="C17:I17" si="2">SUM(C15:C16)</f>
        <v>17820628.979999997</v>
      </c>
      <c r="D17" s="17">
        <f t="shared" si="2"/>
        <v>20910662.140000004</v>
      </c>
      <c r="E17" s="18">
        <f t="shared" si="2"/>
        <v>0</v>
      </c>
      <c r="F17" s="17">
        <f t="shared" si="2"/>
        <v>22791862.060000002</v>
      </c>
      <c r="G17" s="17">
        <f t="shared" si="2"/>
        <v>22961933.709999997</v>
      </c>
      <c r="H17" s="17">
        <f t="shared" si="2"/>
        <v>29246299.140000004</v>
      </c>
      <c r="I17" s="18">
        <f t="shared" si="2"/>
        <v>0</v>
      </c>
      <c r="J17" s="17">
        <f>SUM(J15:J16)</f>
        <v>128796916.31999999</v>
      </c>
    </row>
    <row r="19" spans="1:10" ht="21" customHeight="1" x14ac:dyDescent="0.6">
      <c r="B19" s="32" t="e">
        <f>SUM(#REF!+B9)</f>
        <v>#REF!</v>
      </c>
      <c r="C19" s="32" t="e">
        <f>SUM(#REF!+C9)</f>
        <v>#REF!</v>
      </c>
      <c r="D19" s="32" t="e">
        <f>SUM(#REF!+D9)</f>
        <v>#REF!</v>
      </c>
      <c r="E19" s="32" t="e">
        <f>SUM(#REF!+E9)</f>
        <v>#REF!</v>
      </c>
      <c r="F19" s="32" t="e">
        <f>SUM(#REF!+F9)</f>
        <v>#REF!</v>
      </c>
      <c r="G19" s="32" t="e">
        <f>SUM(#REF!+G9)</f>
        <v>#REF!</v>
      </c>
      <c r="H19" s="32" t="e">
        <f>SUM(#REF!+H9)</f>
        <v>#REF!</v>
      </c>
      <c r="I19" s="32" t="e">
        <f>SUM(#REF!+I9)</f>
        <v>#REF!</v>
      </c>
      <c r="J19" s="32" t="e">
        <f>SUM(#REF!+J9)</f>
        <v>#REF!</v>
      </c>
    </row>
    <row r="30" spans="1:10" ht="21" customHeight="1" x14ac:dyDescent="0.6">
      <c r="A30" s="80" t="s">
        <v>78</v>
      </c>
      <c r="B30" s="80"/>
      <c r="C30" s="80"/>
      <c r="D30" s="80"/>
      <c r="E30" s="80"/>
      <c r="F30" s="80"/>
      <c r="G30" s="80"/>
      <c r="H30" s="80"/>
      <c r="I30" s="80"/>
      <c r="J30" s="80"/>
    </row>
    <row r="31" spans="1:10" ht="21" customHeight="1" x14ac:dyDescent="0.6">
      <c r="A31" s="80" t="s">
        <v>23</v>
      </c>
      <c r="B31" s="80"/>
      <c r="C31" s="80"/>
      <c r="D31" s="80"/>
      <c r="E31" s="80"/>
      <c r="F31" s="80"/>
      <c r="G31" s="80"/>
      <c r="H31" s="80"/>
      <c r="I31" s="80"/>
      <c r="J31" s="80"/>
    </row>
    <row r="32" spans="1:10" ht="21" customHeight="1" x14ac:dyDescent="0.6">
      <c r="A32" s="80" t="s">
        <v>49</v>
      </c>
      <c r="B32" s="80"/>
      <c r="C32" s="80"/>
      <c r="D32" s="80"/>
      <c r="E32" s="80"/>
      <c r="F32" s="80"/>
      <c r="G32" s="80"/>
      <c r="H32" s="80"/>
      <c r="I32" s="80"/>
      <c r="J32" s="80"/>
    </row>
    <row r="33" spans="1:10" s="6" customFormat="1" ht="33" customHeight="1" x14ac:dyDescent="0.6">
      <c r="A33" s="3" t="s">
        <v>50</v>
      </c>
      <c r="B33" s="4" t="s">
        <v>51</v>
      </c>
      <c r="C33" s="4" t="s">
        <v>52</v>
      </c>
      <c r="D33" s="4" t="s">
        <v>53</v>
      </c>
      <c r="E33" s="4" t="s">
        <v>30</v>
      </c>
      <c r="F33" s="4" t="s">
        <v>54</v>
      </c>
      <c r="G33" s="4" t="s">
        <v>55</v>
      </c>
      <c r="H33" s="4" t="s">
        <v>56</v>
      </c>
      <c r="I33" s="4" t="s">
        <v>31</v>
      </c>
      <c r="J33" s="5" t="s">
        <v>6</v>
      </c>
    </row>
    <row r="34" spans="1:10" ht="19.95" customHeight="1" x14ac:dyDescent="0.6">
      <c r="A34" s="8" t="s">
        <v>10</v>
      </c>
      <c r="B34" s="9"/>
      <c r="C34" s="9"/>
      <c r="D34" s="9"/>
      <c r="E34" s="10"/>
      <c r="F34" s="9"/>
      <c r="G34" s="9"/>
      <c r="H34" s="9"/>
      <c r="I34" s="10"/>
      <c r="J34" s="9"/>
    </row>
    <row r="35" spans="1:10" ht="19.95" customHeight="1" x14ac:dyDescent="0.6">
      <c r="A35" s="13" t="s">
        <v>59</v>
      </c>
      <c r="B35" s="27">
        <v>719446.77</v>
      </c>
      <c r="C35" s="27">
        <v>766674.2</v>
      </c>
      <c r="D35" s="27">
        <v>881510</v>
      </c>
      <c r="E35" s="12"/>
      <c r="F35" s="27">
        <v>808790</v>
      </c>
      <c r="G35" s="27">
        <v>796130</v>
      </c>
      <c r="H35" s="27">
        <v>771150.69</v>
      </c>
      <c r="I35" s="12">
        <f t="shared" ref="I35:I42" si="3">F35+G35+H35</f>
        <v>2376070.69</v>
      </c>
      <c r="J35" s="28">
        <f>SUM(B35:H35)</f>
        <v>4743701.66</v>
      </c>
    </row>
    <row r="36" spans="1:10" ht="19.95" customHeight="1" x14ac:dyDescent="0.6">
      <c r="A36" s="13" t="s">
        <v>32</v>
      </c>
      <c r="B36" s="27">
        <v>12000</v>
      </c>
      <c r="C36" s="27">
        <v>12000</v>
      </c>
      <c r="D36" s="27">
        <v>12000</v>
      </c>
      <c r="E36" s="12">
        <f t="shared" ref="E36:E40" si="4">B36+C36+D36</f>
        <v>36000</v>
      </c>
      <c r="F36" s="27">
        <v>12000</v>
      </c>
      <c r="G36" s="27">
        <v>12000</v>
      </c>
      <c r="H36" s="27">
        <v>12000</v>
      </c>
      <c r="I36" s="12">
        <f t="shared" si="3"/>
        <v>36000</v>
      </c>
      <c r="J36" s="28">
        <f>SUM(B36:H36)</f>
        <v>108000</v>
      </c>
    </row>
    <row r="37" spans="1:10" ht="19.95" customHeight="1" x14ac:dyDescent="0.6">
      <c r="A37" s="13" t="s">
        <v>33</v>
      </c>
      <c r="B37" s="27">
        <v>0</v>
      </c>
      <c r="C37" s="27">
        <v>148850</v>
      </c>
      <c r="D37" s="27">
        <v>124980</v>
      </c>
      <c r="E37" s="12">
        <f t="shared" si="4"/>
        <v>273830</v>
      </c>
      <c r="F37" s="27">
        <v>417665.7</v>
      </c>
      <c r="G37" s="27">
        <v>118670</v>
      </c>
      <c r="H37" s="27">
        <v>750085.01</v>
      </c>
      <c r="I37" s="12">
        <f t="shared" si="3"/>
        <v>1286420.71</v>
      </c>
      <c r="J37" s="28">
        <f>SUM(B37:H37)</f>
        <v>1834080.71</v>
      </c>
    </row>
    <row r="38" spans="1:10" ht="19.95" customHeight="1" x14ac:dyDescent="0.6">
      <c r="A38" s="13" t="s">
        <v>34</v>
      </c>
      <c r="B38" s="27">
        <v>679180.1</v>
      </c>
      <c r="C38" s="27">
        <v>296343.26</v>
      </c>
      <c r="D38" s="27">
        <v>56227.81</v>
      </c>
      <c r="E38" s="12">
        <f t="shared" si="4"/>
        <v>1031751.1699999999</v>
      </c>
      <c r="F38" s="27">
        <v>484300.39</v>
      </c>
      <c r="G38" s="27">
        <v>306543.01</v>
      </c>
      <c r="H38" s="27">
        <v>64946.400000000001</v>
      </c>
      <c r="I38" s="12">
        <f t="shared" si="3"/>
        <v>855789.8</v>
      </c>
      <c r="J38" s="28">
        <f>SUM(B38:H38)</f>
        <v>2919292.14</v>
      </c>
    </row>
    <row r="39" spans="1:10" ht="19.95" customHeight="1" x14ac:dyDescent="0.6">
      <c r="A39" s="13" t="s">
        <v>35</v>
      </c>
      <c r="B39" s="27">
        <f>B66+B98+B126+B154+B182+B210+B238+B266+B294+B323</f>
        <v>0</v>
      </c>
      <c r="C39" s="27">
        <v>0</v>
      </c>
      <c r="D39" s="27">
        <v>0</v>
      </c>
      <c r="E39" s="12">
        <f t="shared" si="4"/>
        <v>0</v>
      </c>
      <c r="F39" s="27">
        <v>0</v>
      </c>
      <c r="G39" s="27">
        <v>0</v>
      </c>
      <c r="H39" s="27">
        <v>0</v>
      </c>
      <c r="I39" s="12">
        <f t="shared" si="3"/>
        <v>0</v>
      </c>
      <c r="J39" s="28">
        <f t="shared" ref="J39:J41" si="5">SUM(B39:H39)</f>
        <v>0</v>
      </c>
    </row>
    <row r="40" spans="1:10" ht="19.95" customHeight="1" x14ac:dyDescent="0.6">
      <c r="A40" s="13" t="s">
        <v>36</v>
      </c>
      <c r="B40" s="27">
        <v>0</v>
      </c>
      <c r="C40" s="27">
        <v>0</v>
      </c>
      <c r="D40" s="27">
        <v>0</v>
      </c>
      <c r="E40" s="12">
        <f t="shared" si="4"/>
        <v>0</v>
      </c>
      <c r="F40" s="27">
        <v>0</v>
      </c>
      <c r="G40" s="27">
        <v>0</v>
      </c>
      <c r="H40" s="27">
        <v>0</v>
      </c>
      <c r="I40" s="12">
        <f t="shared" si="3"/>
        <v>0</v>
      </c>
      <c r="J40" s="28">
        <f t="shared" si="5"/>
        <v>0</v>
      </c>
    </row>
    <row r="41" spans="1:10" ht="19.95" customHeight="1" x14ac:dyDescent="0.6">
      <c r="A41" s="14" t="s">
        <v>85</v>
      </c>
      <c r="B41" s="30">
        <v>0</v>
      </c>
      <c r="C41" s="30">
        <v>0</v>
      </c>
      <c r="D41" s="19">
        <v>0</v>
      </c>
      <c r="E41" s="26">
        <f>B41+C41+D42</f>
        <v>0</v>
      </c>
      <c r="F41" s="30">
        <v>0</v>
      </c>
      <c r="G41" s="30">
        <v>0</v>
      </c>
      <c r="H41" s="30">
        <v>0</v>
      </c>
      <c r="I41" s="26">
        <f t="shared" si="3"/>
        <v>0</v>
      </c>
      <c r="J41" s="28">
        <f t="shared" si="5"/>
        <v>0</v>
      </c>
    </row>
    <row r="42" spans="1:10" ht="19.95" customHeight="1" x14ac:dyDescent="0.6">
      <c r="A42" s="15" t="s">
        <v>86</v>
      </c>
      <c r="B42" s="67">
        <v>0</v>
      </c>
      <c r="C42" s="67">
        <v>0</v>
      </c>
      <c r="D42" s="30">
        <v>0</v>
      </c>
      <c r="E42" s="68" t="e">
        <f>B42+C42+#REF!</f>
        <v>#REF!</v>
      </c>
      <c r="F42" s="27">
        <v>0</v>
      </c>
      <c r="G42" s="67">
        <v>0</v>
      </c>
      <c r="H42" s="67">
        <v>0</v>
      </c>
      <c r="I42" s="68">
        <f t="shared" si="3"/>
        <v>0</v>
      </c>
      <c r="J42" s="28">
        <v>0</v>
      </c>
    </row>
    <row r="43" spans="1:10" ht="19.95" customHeight="1" thickBot="1" x14ac:dyDescent="0.65">
      <c r="A43" s="16" t="s">
        <v>37</v>
      </c>
      <c r="B43" s="25">
        <f>SUM(B35:B42)</f>
        <v>1410626.87</v>
      </c>
      <c r="C43" s="25">
        <f t="shared" ref="C43" si="6">SUM(C35:C42)</f>
        <v>1223867.46</v>
      </c>
      <c r="D43" s="25">
        <f>SUM(D35:D42)</f>
        <v>1074717.81</v>
      </c>
      <c r="E43" s="25" t="e">
        <f t="shared" ref="E43:I43" si="7">SUM(E35:E42)</f>
        <v>#REF!</v>
      </c>
      <c r="F43" s="25">
        <f t="shared" si="7"/>
        <v>1722756.0899999999</v>
      </c>
      <c r="G43" s="25">
        <f t="shared" si="7"/>
        <v>1233343.01</v>
      </c>
      <c r="H43" s="25">
        <f t="shared" si="7"/>
        <v>1598182.0999999999</v>
      </c>
      <c r="I43" s="25">
        <f t="shared" si="7"/>
        <v>4554281.2</v>
      </c>
      <c r="J43" s="25">
        <f>SUM(J35:J42)</f>
        <v>9605074.5099999998</v>
      </c>
    </row>
    <row r="44" spans="1:10" ht="19.95" customHeight="1" thickTop="1" x14ac:dyDescent="0.6">
      <c r="A44" s="11" t="s">
        <v>27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</row>
    <row r="45" spans="1:10" ht="19.95" customHeight="1" x14ac:dyDescent="0.6">
      <c r="A45" s="16" t="s">
        <v>38</v>
      </c>
      <c r="B45" s="17">
        <f>SUM(B43:B44)</f>
        <v>1410626.87</v>
      </c>
      <c r="C45" s="17">
        <f t="shared" ref="C45:J45" si="8">SUM(C43:C44)</f>
        <v>1223867.46</v>
      </c>
      <c r="D45" s="17">
        <f t="shared" si="8"/>
        <v>1074717.81</v>
      </c>
      <c r="E45" s="18" t="e">
        <f t="shared" si="8"/>
        <v>#REF!</v>
      </c>
      <c r="F45" s="17">
        <f t="shared" si="8"/>
        <v>1722756.0899999999</v>
      </c>
      <c r="G45" s="17">
        <f t="shared" si="8"/>
        <v>1233343.01</v>
      </c>
      <c r="H45" s="17">
        <f t="shared" si="8"/>
        <v>1598182.0999999999</v>
      </c>
      <c r="I45" s="18">
        <f t="shared" si="8"/>
        <v>4554281.2</v>
      </c>
      <c r="J45" s="17">
        <f t="shared" si="8"/>
        <v>9605074.5099999998</v>
      </c>
    </row>
    <row r="46" spans="1:10" ht="21" customHeight="1" x14ac:dyDescent="0.6">
      <c r="B46" s="29"/>
      <c r="C46" s="29"/>
      <c r="D46" s="29"/>
      <c r="E46" s="29"/>
      <c r="F46" s="29"/>
      <c r="G46" s="29"/>
      <c r="H46" s="29"/>
    </row>
    <row r="47" spans="1:10" ht="21" customHeight="1" x14ac:dyDescent="0.6">
      <c r="B47" s="33">
        <f t="shared" ref="B47:J47" si="9">SUM(B38:B38)</f>
        <v>679180.1</v>
      </c>
      <c r="C47" s="33">
        <f t="shared" si="9"/>
        <v>296343.26</v>
      </c>
      <c r="D47" s="33">
        <f t="shared" si="9"/>
        <v>56227.81</v>
      </c>
      <c r="E47" s="33">
        <f t="shared" si="9"/>
        <v>1031751.1699999999</v>
      </c>
      <c r="F47" s="33">
        <f t="shared" si="9"/>
        <v>484300.39</v>
      </c>
      <c r="G47" s="33">
        <f t="shared" si="9"/>
        <v>306543.01</v>
      </c>
      <c r="H47" s="33">
        <f t="shared" si="9"/>
        <v>64946.400000000001</v>
      </c>
      <c r="I47" s="32">
        <f t="shared" si="9"/>
        <v>855789.8</v>
      </c>
      <c r="J47" s="32">
        <f t="shared" si="9"/>
        <v>2919292.14</v>
      </c>
    </row>
    <row r="48" spans="1:10" ht="21" customHeight="1" x14ac:dyDescent="0.6">
      <c r="B48" s="29"/>
      <c r="C48" s="29"/>
      <c r="D48" s="29"/>
      <c r="E48" s="29"/>
      <c r="F48" s="29"/>
      <c r="G48" s="29"/>
      <c r="H48" s="29"/>
    </row>
    <row r="49" spans="1:10" ht="21" customHeight="1" x14ac:dyDescent="0.6">
      <c r="B49" s="29"/>
      <c r="C49" s="29"/>
      <c r="D49" s="29"/>
      <c r="E49" s="29"/>
      <c r="F49" s="29"/>
      <c r="G49" s="29"/>
      <c r="H49" s="29"/>
    </row>
    <row r="50" spans="1:10" ht="21" customHeight="1" x14ac:dyDescent="0.6">
      <c r="B50" s="29"/>
      <c r="C50" s="29"/>
      <c r="D50" s="29"/>
      <c r="E50" s="29"/>
      <c r="F50" s="29"/>
      <c r="G50" s="29"/>
      <c r="H50" s="29"/>
    </row>
    <row r="51" spans="1:10" ht="21" customHeight="1" x14ac:dyDescent="0.6">
      <c r="B51" s="29"/>
      <c r="C51" s="29"/>
      <c r="D51" s="29"/>
      <c r="E51" s="29"/>
      <c r="F51" s="29"/>
      <c r="G51" s="29"/>
      <c r="H51" s="29"/>
    </row>
    <row r="52" spans="1:10" ht="21" customHeight="1" x14ac:dyDescent="0.6">
      <c r="B52" s="29"/>
      <c r="C52" s="29"/>
      <c r="D52" s="29"/>
      <c r="E52" s="29"/>
      <c r="F52" s="29"/>
      <c r="G52" s="29"/>
      <c r="H52" s="29"/>
    </row>
    <row r="53" spans="1:10" ht="21" customHeight="1" x14ac:dyDescent="0.6">
      <c r="B53" s="29"/>
      <c r="C53" s="29"/>
      <c r="D53" s="29"/>
      <c r="E53" s="29"/>
      <c r="F53" s="29"/>
      <c r="G53" s="29"/>
      <c r="H53" s="29"/>
    </row>
    <row r="54" spans="1:10" ht="21" customHeight="1" x14ac:dyDescent="0.6">
      <c r="B54" s="29"/>
      <c r="C54" s="29"/>
      <c r="D54" s="29"/>
      <c r="E54" s="29"/>
      <c r="F54" s="29"/>
      <c r="G54" s="29"/>
      <c r="H54" s="29"/>
    </row>
    <row r="55" spans="1:10" ht="21" customHeight="1" x14ac:dyDescent="0.6">
      <c r="B55" s="29"/>
      <c r="C55" s="29"/>
      <c r="D55" s="29"/>
      <c r="E55" s="29"/>
      <c r="F55" s="29"/>
      <c r="G55" s="29"/>
      <c r="H55" s="29"/>
    </row>
    <row r="56" spans="1:10" ht="21" customHeight="1" x14ac:dyDescent="0.6">
      <c r="B56" s="29"/>
      <c r="C56" s="29"/>
      <c r="D56" s="29"/>
      <c r="E56" s="29"/>
      <c r="F56" s="29"/>
      <c r="G56" s="29"/>
      <c r="H56" s="29"/>
    </row>
    <row r="57" spans="1:10" ht="21" customHeight="1" x14ac:dyDescent="0.6">
      <c r="B57" s="29"/>
      <c r="C57" s="29"/>
      <c r="D57" s="29"/>
      <c r="E57" s="29"/>
      <c r="F57" s="29"/>
      <c r="G57" s="29"/>
      <c r="H57" s="29"/>
    </row>
    <row r="58" spans="1:10" ht="21" customHeight="1" x14ac:dyDescent="0.6">
      <c r="A58" s="80" t="s">
        <v>78</v>
      </c>
      <c r="B58" s="80"/>
      <c r="C58" s="80"/>
      <c r="D58" s="80"/>
      <c r="E58" s="80"/>
      <c r="F58" s="80"/>
      <c r="G58" s="80"/>
      <c r="H58" s="80"/>
      <c r="I58" s="80"/>
      <c r="J58" s="80"/>
    </row>
    <row r="59" spans="1:10" ht="21" customHeight="1" x14ac:dyDescent="0.6">
      <c r="A59" s="80" t="s">
        <v>63</v>
      </c>
      <c r="B59" s="80"/>
      <c r="C59" s="80"/>
      <c r="D59" s="80"/>
      <c r="E59" s="80"/>
      <c r="F59" s="80"/>
      <c r="G59" s="80"/>
      <c r="H59" s="80"/>
      <c r="I59" s="80"/>
      <c r="J59" s="80"/>
    </row>
    <row r="60" spans="1:10" ht="21" customHeight="1" x14ac:dyDescent="0.6">
      <c r="A60" s="80" t="s">
        <v>49</v>
      </c>
      <c r="B60" s="80"/>
      <c r="C60" s="80"/>
      <c r="D60" s="80"/>
      <c r="E60" s="80"/>
      <c r="F60" s="80"/>
      <c r="G60" s="80"/>
      <c r="H60" s="80"/>
      <c r="I60" s="80"/>
      <c r="J60" s="80"/>
    </row>
    <row r="61" spans="1:10" s="6" customFormat="1" ht="33" customHeight="1" x14ac:dyDescent="0.6">
      <c r="A61" s="3" t="s">
        <v>50</v>
      </c>
      <c r="B61" s="4" t="s">
        <v>51</v>
      </c>
      <c r="C61" s="4" t="s">
        <v>52</v>
      </c>
      <c r="D61" s="4" t="s">
        <v>53</v>
      </c>
      <c r="E61" s="4" t="s">
        <v>30</v>
      </c>
      <c r="F61" s="4" t="s">
        <v>54</v>
      </c>
      <c r="G61" s="4" t="s">
        <v>55</v>
      </c>
      <c r="H61" s="4" t="s">
        <v>56</v>
      </c>
      <c r="I61" s="4" t="s">
        <v>31</v>
      </c>
      <c r="J61" s="5" t="s">
        <v>6</v>
      </c>
    </row>
    <row r="62" spans="1:10" ht="19.95" customHeight="1" x14ac:dyDescent="0.6">
      <c r="A62" s="8" t="s">
        <v>10</v>
      </c>
      <c r="B62" s="9"/>
      <c r="C62" s="9"/>
      <c r="D62" s="9"/>
      <c r="E62" s="10"/>
      <c r="F62" s="9"/>
      <c r="G62" s="9"/>
      <c r="H62" s="9"/>
      <c r="I62" s="10"/>
      <c r="J62" s="9"/>
    </row>
    <row r="63" spans="1:10" ht="19.95" customHeight="1" x14ac:dyDescent="0.6">
      <c r="A63" s="13" t="s">
        <v>59</v>
      </c>
      <c r="B63" s="27">
        <v>502461.61</v>
      </c>
      <c r="C63" s="27">
        <v>502000</v>
      </c>
      <c r="D63" s="27">
        <v>556870</v>
      </c>
      <c r="E63" s="12"/>
      <c r="F63" s="27">
        <v>486180</v>
      </c>
      <c r="G63" s="27">
        <v>486180</v>
      </c>
      <c r="H63" s="27">
        <v>525378.71</v>
      </c>
      <c r="I63" s="12">
        <f t="shared" ref="I63:I70" si="10">F63+G63+H63</f>
        <v>1497738.71</v>
      </c>
      <c r="J63" s="28">
        <f>SUM(B63:H63)</f>
        <v>3059070.32</v>
      </c>
    </row>
    <row r="64" spans="1:10" ht="19.95" customHeight="1" x14ac:dyDescent="0.6">
      <c r="A64" s="13" t="s">
        <v>32</v>
      </c>
      <c r="B64" s="27">
        <v>0</v>
      </c>
      <c r="C64" s="27">
        <v>0</v>
      </c>
      <c r="D64" s="27">
        <v>0</v>
      </c>
      <c r="E64" s="12">
        <f t="shared" ref="E64:E68" si="11">B64+C64+D64</f>
        <v>0</v>
      </c>
      <c r="F64" s="27">
        <v>0</v>
      </c>
      <c r="G64" s="27">
        <v>0</v>
      </c>
      <c r="H64" s="27">
        <v>0</v>
      </c>
      <c r="I64" s="12">
        <f t="shared" si="10"/>
        <v>0</v>
      </c>
      <c r="J64" s="28">
        <f t="shared" ref="J64:J69" si="12">SUM(B64:H64)</f>
        <v>0</v>
      </c>
    </row>
    <row r="65" spans="1:10" ht="19.95" customHeight="1" x14ac:dyDescent="0.6">
      <c r="A65" s="13" t="s">
        <v>33</v>
      </c>
      <c r="B65" s="27">
        <v>0</v>
      </c>
      <c r="C65" s="27">
        <v>63900</v>
      </c>
      <c r="D65" s="27">
        <v>70470</v>
      </c>
      <c r="E65" s="12">
        <f t="shared" si="11"/>
        <v>134370</v>
      </c>
      <c r="F65" s="27">
        <v>68670</v>
      </c>
      <c r="G65" s="27">
        <v>68080</v>
      </c>
      <c r="H65" s="27">
        <v>61850</v>
      </c>
      <c r="I65" s="12">
        <f t="shared" si="10"/>
        <v>198600</v>
      </c>
      <c r="J65" s="28">
        <f t="shared" si="12"/>
        <v>467340</v>
      </c>
    </row>
    <row r="66" spans="1:10" ht="19.95" customHeight="1" x14ac:dyDescent="0.6">
      <c r="A66" s="13" t="s">
        <v>34</v>
      </c>
      <c r="B66" s="27">
        <v>0</v>
      </c>
      <c r="C66" s="27">
        <v>0</v>
      </c>
      <c r="D66" s="27">
        <v>0</v>
      </c>
      <c r="E66" s="12">
        <f t="shared" si="11"/>
        <v>0</v>
      </c>
      <c r="F66" s="27">
        <v>0</v>
      </c>
      <c r="G66" s="27">
        <v>0</v>
      </c>
      <c r="H66" s="27">
        <v>0</v>
      </c>
      <c r="I66" s="12">
        <f t="shared" si="10"/>
        <v>0</v>
      </c>
      <c r="J66" s="28">
        <f t="shared" si="12"/>
        <v>0</v>
      </c>
    </row>
    <row r="67" spans="1:10" ht="19.95" customHeight="1" x14ac:dyDescent="0.6">
      <c r="A67" s="13" t="s">
        <v>35</v>
      </c>
      <c r="B67" s="27">
        <v>0</v>
      </c>
      <c r="C67" s="27">
        <v>0</v>
      </c>
      <c r="D67" s="27">
        <v>0</v>
      </c>
      <c r="E67" s="12">
        <f t="shared" si="11"/>
        <v>0</v>
      </c>
      <c r="F67" s="27">
        <v>0</v>
      </c>
      <c r="G67" s="27">
        <v>0</v>
      </c>
      <c r="H67" s="27">
        <v>0</v>
      </c>
      <c r="I67" s="12">
        <f t="shared" si="10"/>
        <v>0</v>
      </c>
      <c r="J67" s="28">
        <f t="shared" si="12"/>
        <v>0</v>
      </c>
    </row>
    <row r="68" spans="1:10" ht="19.95" customHeight="1" x14ac:dyDescent="0.6">
      <c r="A68" s="13" t="s">
        <v>36</v>
      </c>
      <c r="B68" s="27">
        <v>0</v>
      </c>
      <c r="C68" s="27">
        <v>0</v>
      </c>
      <c r="D68" s="27">
        <v>0</v>
      </c>
      <c r="E68" s="12">
        <f t="shared" si="11"/>
        <v>0</v>
      </c>
      <c r="F68" s="27">
        <v>0</v>
      </c>
      <c r="G68" s="27">
        <v>0</v>
      </c>
      <c r="H68" s="27">
        <v>0</v>
      </c>
      <c r="I68" s="12">
        <f t="shared" si="10"/>
        <v>0</v>
      </c>
      <c r="J68" s="28">
        <f t="shared" si="12"/>
        <v>0</v>
      </c>
    </row>
    <row r="69" spans="1:10" ht="19.95" customHeight="1" x14ac:dyDescent="0.6">
      <c r="A69" s="14" t="s">
        <v>85</v>
      </c>
      <c r="B69" s="30">
        <v>0</v>
      </c>
      <c r="C69" s="30">
        <v>0</v>
      </c>
      <c r="D69" s="19">
        <v>0</v>
      </c>
      <c r="E69" s="26">
        <f>B69+C69+D70</f>
        <v>0</v>
      </c>
      <c r="F69" s="30">
        <v>0</v>
      </c>
      <c r="G69" s="30">
        <v>0</v>
      </c>
      <c r="H69" s="30">
        <v>0</v>
      </c>
      <c r="I69" s="26">
        <f t="shared" si="10"/>
        <v>0</v>
      </c>
      <c r="J69" s="28">
        <f t="shared" si="12"/>
        <v>0</v>
      </c>
    </row>
    <row r="70" spans="1:10" ht="19.95" customHeight="1" x14ac:dyDescent="0.6">
      <c r="A70" s="15" t="s">
        <v>86</v>
      </c>
      <c r="B70" s="67">
        <v>0</v>
      </c>
      <c r="C70" s="67">
        <v>0</v>
      </c>
      <c r="D70" s="30">
        <v>0</v>
      </c>
      <c r="E70" s="68" t="e">
        <f>B70+C70+#REF!</f>
        <v>#REF!</v>
      </c>
      <c r="F70" s="27">
        <v>0</v>
      </c>
      <c r="G70" s="67">
        <v>0</v>
      </c>
      <c r="H70" s="67">
        <v>0</v>
      </c>
      <c r="I70" s="68">
        <f t="shared" si="10"/>
        <v>0</v>
      </c>
      <c r="J70" s="28">
        <v>0</v>
      </c>
    </row>
    <row r="71" spans="1:10" ht="19.95" customHeight="1" thickBot="1" x14ac:dyDescent="0.65">
      <c r="A71" s="16" t="s">
        <v>37</v>
      </c>
      <c r="B71" s="25">
        <f>SUM(B63:B70)</f>
        <v>502461.61</v>
      </c>
      <c r="C71" s="25">
        <f t="shared" ref="C71" si="13">SUM(C63:C70)</f>
        <v>565900</v>
      </c>
      <c r="D71" s="25">
        <f>SUM(D63:D70)</f>
        <v>627340</v>
      </c>
      <c r="E71" s="25" t="e">
        <f t="shared" ref="E71:I71" si="14">SUM(E63:E70)</f>
        <v>#REF!</v>
      </c>
      <c r="F71" s="25">
        <f t="shared" si="14"/>
        <v>554850</v>
      </c>
      <c r="G71" s="25">
        <f t="shared" si="14"/>
        <v>554260</v>
      </c>
      <c r="H71" s="25">
        <f t="shared" si="14"/>
        <v>587228.71</v>
      </c>
      <c r="I71" s="25">
        <f t="shared" si="14"/>
        <v>1696338.71</v>
      </c>
      <c r="J71" s="25">
        <f>SUM(J63:J70)</f>
        <v>3526410.32</v>
      </c>
    </row>
    <row r="72" spans="1:10" ht="19.95" customHeight="1" thickTop="1" x14ac:dyDescent="0.6">
      <c r="A72" s="11" t="s">
        <v>27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</row>
    <row r="73" spans="1:10" ht="19.95" customHeight="1" x14ac:dyDescent="0.6">
      <c r="A73" s="16" t="s">
        <v>38</v>
      </c>
      <c r="B73" s="17">
        <f>SUM(B71:B72)</f>
        <v>502461.61</v>
      </c>
      <c r="C73" s="17">
        <f t="shared" ref="C73:J73" si="15">SUM(C71:C72)</f>
        <v>565900</v>
      </c>
      <c r="D73" s="17">
        <f t="shared" si="15"/>
        <v>627340</v>
      </c>
      <c r="E73" s="18" t="e">
        <f t="shared" si="15"/>
        <v>#REF!</v>
      </c>
      <c r="F73" s="17">
        <f t="shared" si="15"/>
        <v>554850</v>
      </c>
      <c r="G73" s="17">
        <f t="shared" si="15"/>
        <v>554260</v>
      </c>
      <c r="H73" s="17">
        <f t="shared" si="15"/>
        <v>587228.71</v>
      </c>
      <c r="I73" s="18">
        <f t="shared" si="15"/>
        <v>1696338.71</v>
      </c>
      <c r="J73" s="17">
        <f t="shared" si="15"/>
        <v>3526410.32</v>
      </c>
    </row>
    <row r="75" spans="1:10" ht="21" customHeight="1" x14ac:dyDescent="0.6">
      <c r="B75" s="32">
        <f t="shared" ref="B75:J75" si="16">SUM(B68:B69)</f>
        <v>0</v>
      </c>
      <c r="C75" s="32">
        <f t="shared" si="16"/>
        <v>0</v>
      </c>
      <c r="D75" s="32">
        <f t="shared" si="16"/>
        <v>0</v>
      </c>
      <c r="E75" s="32">
        <f t="shared" si="16"/>
        <v>0</v>
      </c>
      <c r="F75" s="32">
        <f t="shared" si="16"/>
        <v>0</v>
      </c>
      <c r="G75" s="32">
        <f t="shared" si="16"/>
        <v>0</v>
      </c>
      <c r="H75" s="32">
        <f t="shared" si="16"/>
        <v>0</v>
      </c>
      <c r="I75" s="32">
        <f t="shared" si="16"/>
        <v>0</v>
      </c>
      <c r="J75" s="32">
        <f t="shared" si="16"/>
        <v>0</v>
      </c>
    </row>
    <row r="86" spans="1:10" ht="21" customHeight="1" x14ac:dyDescent="0.6">
      <c r="A86" s="80" t="s">
        <v>78</v>
      </c>
      <c r="B86" s="80"/>
      <c r="C86" s="80"/>
      <c r="D86" s="80"/>
      <c r="E86" s="80"/>
      <c r="F86" s="80"/>
      <c r="G86" s="80"/>
      <c r="H86" s="80"/>
      <c r="I86" s="80"/>
      <c r="J86" s="80"/>
    </row>
    <row r="87" spans="1:10" ht="21" customHeight="1" x14ac:dyDescent="0.6">
      <c r="A87" s="80" t="s">
        <v>64</v>
      </c>
      <c r="B87" s="80"/>
      <c r="C87" s="80"/>
      <c r="D87" s="80"/>
      <c r="E87" s="80"/>
      <c r="F87" s="80"/>
      <c r="G87" s="80"/>
      <c r="H87" s="80"/>
      <c r="I87" s="80"/>
      <c r="J87" s="80"/>
    </row>
    <row r="88" spans="1:10" ht="21" customHeight="1" x14ac:dyDescent="0.6">
      <c r="A88" s="80" t="s">
        <v>49</v>
      </c>
      <c r="B88" s="80"/>
      <c r="C88" s="80"/>
      <c r="D88" s="80"/>
      <c r="E88" s="80"/>
      <c r="F88" s="80"/>
      <c r="G88" s="80"/>
      <c r="H88" s="80"/>
      <c r="I88" s="80"/>
      <c r="J88" s="80"/>
    </row>
    <row r="89" spans="1:10" s="6" customFormat="1" ht="33" customHeight="1" x14ac:dyDescent="0.6">
      <c r="A89" s="3" t="s">
        <v>50</v>
      </c>
      <c r="B89" s="4" t="s">
        <v>51</v>
      </c>
      <c r="C89" s="4" t="s">
        <v>52</v>
      </c>
      <c r="D89" s="4" t="s">
        <v>53</v>
      </c>
      <c r="E89" s="4" t="s">
        <v>30</v>
      </c>
      <c r="F89" s="4" t="s">
        <v>54</v>
      </c>
      <c r="G89" s="4" t="s">
        <v>55</v>
      </c>
      <c r="H89" s="4" t="s">
        <v>56</v>
      </c>
      <c r="I89" s="4" t="s">
        <v>31</v>
      </c>
      <c r="J89" s="5" t="s">
        <v>6</v>
      </c>
    </row>
    <row r="90" spans="1:10" ht="19.95" customHeight="1" x14ac:dyDescent="0.6">
      <c r="A90" s="8" t="s">
        <v>10</v>
      </c>
      <c r="B90" s="9"/>
      <c r="C90" s="9"/>
      <c r="D90" s="9"/>
      <c r="E90" s="10"/>
      <c r="F90" s="9"/>
      <c r="G90" s="9"/>
      <c r="H90" s="9"/>
      <c r="I90" s="10"/>
      <c r="J90" s="9"/>
    </row>
    <row r="91" spans="1:10" ht="19.95" customHeight="1" x14ac:dyDescent="0.6">
      <c r="A91" s="13" t="s">
        <v>59</v>
      </c>
      <c r="B91" s="27">
        <v>280430</v>
      </c>
      <c r="C91" s="27">
        <v>273380</v>
      </c>
      <c r="D91" s="27">
        <v>241310.13</v>
      </c>
      <c r="E91" s="12"/>
      <c r="F91" s="27">
        <v>242300</v>
      </c>
      <c r="G91" s="27">
        <v>269100</v>
      </c>
      <c r="H91" s="27">
        <v>319490.69</v>
      </c>
      <c r="I91" s="12">
        <f t="shared" ref="I91:I98" si="17">F91+G91+H91</f>
        <v>830890.69</v>
      </c>
      <c r="J91" s="28">
        <f>SUM(B91:H91)</f>
        <v>1626010.8199999998</v>
      </c>
    </row>
    <row r="92" spans="1:10" ht="19.95" customHeight="1" x14ac:dyDescent="0.6">
      <c r="A92" s="13" t="s">
        <v>32</v>
      </c>
      <c r="B92" s="27">
        <v>0</v>
      </c>
      <c r="C92" s="27">
        <v>0</v>
      </c>
      <c r="D92" s="27">
        <v>0</v>
      </c>
      <c r="E92" s="12">
        <f t="shared" ref="E92:E96" si="18">B92+C92+D92</f>
        <v>0</v>
      </c>
      <c r="F92" s="27">
        <v>0</v>
      </c>
      <c r="G92" s="27">
        <v>0</v>
      </c>
      <c r="H92" s="27">
        <v>0</v>
      </c>
      <c r="I92" s="12">
        <f t="shared" si="17"/>
        <v>0</v>
      </c>
      <c r="J92" s="28">
        <f t="shared" ref="J92:J97" si="19">SUM(B92:H92)</f>
        <v>0</v>
      </c>
    </row>
    <row r="93" spans="1:10" ht="19.95" customHeight="1" x14ac:dyDescent="0.6">
      <c r="A93" s="13" t="s">
        <v>33</v>
      </c>
      <c r="B93" s="27">
        <v>0</v>
      </c>
      <c r="C93" s="27">
        <v>28120</v>
      </c>
      <c r="D93" s="27">
        <v>28600</v>
      </c>
      <c r="E93" s="12">
        <f t="shared" si="18"/>
        <v>56720</v>
      </c>
      <c r="F93" s="27">
        <v>87960</v>
      </c>
      <c r="G93" s="27">
        <v>84870</v>
      </c>
      <c r="H93" s="27">
        <v>34092</v>
      </c>
      <c r="I93" s="12">
        <f t="shared" si="17"/>
        <v>206922</v>
      </c>
      <c r="J93" s="28">
        <f t="shared" si="19"/>
        <v>320362</v>
      </c>
    </row>
    <row r="94" spans="1:10" ht="19.95" customHeight="1" x14ac:dyDescent="0.6">
      <c r="A94" s="13" t="s">
        <v>34</v>
      </c>
      <c r="B94" s="27">
        <v>20097.32</v>
      </c>
      <c r="C94" s="27">
        <v>11646.34</v>
      </c>
      <c r="D94" s="27">
        <v>7580</v>
      </c>
      <c r="E94" s="12">
        <f t="shared" si="18"/>
        <v>39323.660000000003</v>
      </c>
      <c r="F94" s="27">
        <v>17828.78</v>
      </c>
      <c r="G94" s="27">
        <v>11173.78</v>
      </c>
      <c r="H94" s="27">
        <v>15243.37</v>
      </c>
      <c r="I94" s="12">
        <f t="shared" si="17"/>
        <v>44245.93</v>
      </c>
      <c r="J94" s="28">
        <f t="shared" si="19"/>
        <v>122893.25</v>
      </c>
    </row>
    <row r="95" spans="1:10" ht="19.95" customHeight="1" x14ac:dyDescent="0.6">
      <c r="A95" s="13" t="s">
        <v>35</v>
      </c>
      <c r="B95" s="27">
        <v>0</v>
      </c>
      <c r="C95" s="27">
        <v>0</v>
      </c>
      <c r="D95" s="27">
        <v>0</v>
      </c>
      <c r="E95" s="12">
        <f t="shared" si="18"/>
        <v>0</v>
      </c>
      <c r="F95" s="27">
        <v>0</v>
      </c>
      <c r="G95" s="27">
        <v>0</v>
      </c>
      <c r="H95" s="27">
        <v>0</v>
      </c>
      <c r="I95" s="12">
        <f t="shared" si="17"/>
        <v>0</v>
      </c>
      <c r="J95" s="28">
        <f t="shared" si="19"/>
        <v>0</v>
      </c>
    </row>
    <row r="96" spans="1:10" ht="19.95" customHeight="1" x14ac:dyDescent="0.6">
      <c r="A96" s="13" t="s">
        <v>36</v>
      </c>
      <c r="B96" s="27">
        <v>0</v>
      </c>
      <c r="C96" s="27">
        <v>0</v>
      </c>
      <c r="D96" s="27">
        <v>0</v>
      </c>
      <c r="E96" s="12">
        <f t="shared" si="18"/>
        <v>0</v>
      </c>
      <c r="F96" s="27">
        <v>0</v>
      </c>
      <c r="G96" s="27">
        <v>0</v>
      </c>
      <c r="H96" s="27">
        <v>0</v>
      </c>
      <c r="I96" s="12">
        <f t="shared" si="17"/>
        <v>0</v>
      </c>
      <c r="J96" s="28">
        <f t="shared" si="19"/>
        <v>0</v>
      </c>
    </row>
    <row r="97" spans="1:10" ht="19.95" customHeight="1" x14ac:dyDescent="0.6">
      <c r="A97" s="14" t="s">
        <v>85</v>
      </c>
      <c r="B97" s="30">
        <v>0</v>
      </c>
      <c r="C97" s="30">
        <v>0</v>
      </c>
      <c r="E97" s="26">
        <f>B97+C97+D98</f>
        <v>0</v>
      </c>
      <c r="F97" s="30">
        <v>0</v>
      </c>
      <c r="G97" s="30">
        <v>0</v>
      </c>
      <c r="H97" s="30">
        <v>0</v>
      </c>
      <c r="I97" s="26">
        <f t="shared" si="17"/>
        <v>0</v>
      </c>
      <c r="J97" s="28">
        <f t="shared" si="19"/>
        <v>0</v>
      </c>
    </row>
    <row r="98" spans="1:10" ht="19.95" customHeight="1" x14ac:dyDescent="0.6">
      <c r="A98" s="15" t="s">
        <v>86</v>
      </c>
      <c r="B98" s="67">
        <v>0</v>
      </c>
      <c r="C98" s="67">
        <v>0</v>
      </c>
      <c r="D98" s="30">
        <v>0</v>
      </c>
      <c r="E98" s="68" t="e">
        <f>B98+C98+#REF!</f>
        <v>#REF!</v>
      </c>
      <c r="F98" s="27">
        <v>0</v>
      </c>
      <c r="G98" s="67">
        <v>0</v>
      </c>
      <c r="H98" s="67">
        <v>0</v>
      </c>
      <c r="I98" s="68">
        <f t="shared" si="17"/>
        <v>0</v>
      </c>
      <c r="J98" s="28">
        <v>0</v>
      </c>
    </row>
    <row r="99" spans="1:10" ht="19.95" customHeight="1" thickBot="1" x14ac:dyDescent="0.65">
      <c r="A99" s="16" t="s">
        <v>37</v>
      </c>
      <c r="B99" s="25">
        <f>SUM(B91:B98)</f>
        <v>300527.32</v>
      </c>
      <c r="C99" s="25">
        <f t="shared" ref="C99" si="20">SUM(C91:C98)</f>
        <v>313146.34000000003</v>
      </c>
      <c r="D99" s="25">
        <f>SUM(D91:D98)</f>
        <v>277490.13</v>
      </c>
      <c r="E99" s="25" t="e">
        <f t="shared" ref="E99:I99" si="21">SUM(E91:E98)</f>
        <v>#REF!</v>
      </c>
      <c r="F99" s="25">
        <f t="shared" si="21"/>
        <v>348088.78</v>
      </c>
      <c r="G99" s="25">
        <f t="shared" si="21"/>
        <v>365143.78</v>
      </c>
      <c r="H99" s="25">
        <f t="shared" si="21"/>
        <v>368826.06</v>
      </c>
      <c r="I99" s="25">
        <f t="shared" si="21"/>
        <v>1082058.6199999999</v>
      </c>
      <c r="J99" s="25">
        <f>SUM(J91:J98)</f>
        <v>2069266.0699999998</v>
      </c>
    </row>
    <row r="100" spans="1:10" ht="19.95" customHeight="1" thickTop="1" x14ac:dyDescent="0.6">
      <c r="A100" s="11" t="s">
        <v>27</v>
      </c>
      <c r="B100" s="24">
        <v>0</v>
      </c>
      <c r="C100" s="24">
        <v>0</v>
      </c>
      <c r="D100" s="24">
        <v>0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</row>
    <row r="101" spans="1:10" ht="19.95" customHeight="1" x14ac:dyDescent="0.6">
      <c r="A101" s="16" t="s">
        <v>38</v>
      </c>
      <c r="B101" s="17">
        <f>SUM(B99:B100)</f>
        <v>300527.32</v>
      </c>
      <c r="C101" s="17">
        <f t="shared" ref="C101:J101" si="22">SUM(C99:C100)</f>
        <v>313146.34000000003</v>
      </c>
      <c r="D101" s="17">
        <f t="shared" si="22"/>
        <v>277490.13</v>
      </c>
      <c r="E101" s="18" t="e">
        <f t="shared" si="22"/>
        <v>#REF!</v>
      </c>
      <c r="F101" s="17">
        <f t="shared" si="22"/>
        <v>348088.78</v>
      </c>
      <c r="G101" s="17">
        <f t="shared" si="22"/>
        <v>365143.78</v>
      </c>
      <c r="H101" s="17">
        <f t="shared" si="22"/>
        <v>368826.06</v>
      </c>
      <c r="I101" s="18">
        <f t="shared" si="22"/>
        <v>1082058.6199999999</v>
      </c>
      <c r="J101" s="17">
        <f t="shared" si="22"/>
        <v>2069266.0699999998</v>
      </c>
    </row>
    <row r="103" spans="1:10" ht="21" customHeight="1" x14ac:dyDescent="0.6">
      <c r="B103" s="32">
        <f t="shared" ref="B103:J103" si="23">SUM(B96:B97)</f>
        <v>0</v>
      </c>
      <c r="C103" s="32">
        <f t="shared" si="23"/>
        <v>0</v>
      </c>
      <c r="D103" s="32">
        <f t="shared" si="23"/>
        <v>0</v>
      </c>
      <c r="E103" s="32">
        <f t="shared" si="23"/>
        <v>0</v>
      </c>
      <c r="F103" s="32">
        <f t="shared" si="23"/>
        <v>0</v>
      </c>
      <c r="G103" s="32">
        <f t="shared" si="23"/>
        <v>0</v>
      </c>
      <c r="H103" s="32">
        <f t="shared" si="23"/>
        <v>0</v>
      </c>
      <c r="I103" s="32">
        <f t="shared" si="23"/>
        <v>0</v>
      </c>
      <c r="J103" s="32">
        <f t="shared" si="23"/>
        <v>0</v>
      </c>
    </row>
    <row r="114" spans="1:10" ht="21" customHeight="1" x14ac:dyDescent="0.6">
      <c r="A114" s="80" t="s">
        <v>78</v>
      </c>
      <c r="B114" s="80"/>
      <c r="C114" s="80"/>
      <c r="D114" s="80"/>
      <c r="E114" s="80"/>
      <c r="F114" s="80"/>
      <c r="G114" s="80"/>
      <c r="H114" s="80"/>
      <c r="I114" s="80"/>
      <c r="J114" s="80"/>
    </row>
    <row r="115" spans="1:10" ht="21" customHeight="1" x14ac:dyDescent="0.6">
      <c r="A115" s="80" t="s">
        <v>65</v>
      </c>
      <c r="B115" s="80"/>
      <c r="C115" s="80"/>
      <c r="D115" s="80"/>
      <c r="E115" s="80"/>
      <c r="F115" s="80"/>
      <c r="G115" s="80"/>
      <c r="H115" s="80"/>
      <c r="I115" s="80"/>
      <c r="J115" s="80"/>
    </row>
    <row r="116" spans="1:10" ht="21" customHeight="1" x14ac:dyDescent="0.6">
      <c r="A116" s="80" t="s">
        <v>49</v>
      </c>
      <c r="B116" s="80"/>
      <c r="C116" s="80"/>
      <c r="D116" s="80"/>
      <c r="E116" s="80"/>
      <c r="F116" s="80"/>
      <c r="G116" s="80"/>
      <c r="H116" s="80"/>
      <c r="I116" s="80"/>
      <c r="J116" s="80"/>
    </row>
    <row r="117" spans="1:10" s="6" customFormat="1" ht="33" customHeight="1" x14ac:dyDescent="0.6">
      <c r="A117" s="3" t="s">
        <v>50</v>
      </c>
      <c r="B117" s="4" t="s">
        <v>51</v>
      </c>
      <c r="C117" s="4" t="s">
        <v>52</v>
      </c>
      <c r="D117" s="4" t="s">
        <v>53</v>
      </c>
      <c r="E117" s="4" t="s">
        <v>30</v>
      </c>
      <c r="F117" s="4" t="s">
        <v>54</v>
      </c>
      <c r="G117" s="4" t="s">
        <v>55</v>
      </c>
      <c r="H117" s="4" t="s">
        <v>56</v>
      </c>
      <c r="I117" s="4" t="s">
        <v>31</v>
      </c>
      <c r="J117" s="5" t="s">
        <v>6</v>
      </c>
    </row>
    <row r="118" spans="1:10" ht="19.95" customHeight="1" x14ac:dyDescent="0.6">
      <c r="A118" s="8" t="s">
        <v>10</v>
      </c>
      <c r="B118" s="9"/>
      <c r="C118" s="9"/>
      <c r="D118" s="9"/>
      <c r="E118" s="10"/>
      <c r="F118" s="9"/>
      <c r="G118" s="9"/>
      <c r="H118" s="9"/>
      <c r="I118" s="10"/>
      <c r="J118" s="9"/>
    </row>
    <row r="119" spans="1:10" ht="19.95" customHeight="1" x14ac:dyDescent="0.6">
      <c r="A119" s="13" t="s">
        <v>59</v>
      </c>
      <c r="B119" s="27">
        <v>310760</v>
      </c>
      <c r="C119" s="27">
        <v>310760</v>
      </c>
      <c r="D119" s="27">
        <v>321490</v>
      </c>
      <c r="E119" s="12"/>
      <c r="F119" s="27">
        <v>297230</v>
      </c>
      <c r="G119" s="27">
        <v>297230</v>
      </c>
      <c r="H119" s="27">
        <v>297230</v>
      </c>
      <c r="I119" s="12">
        <f t="shared" ref="I119:I126" si="24">F119+G119+H119</f>
        <v>891690</v>
      </c>
      <c r="J119" s="28">
        <f>SUM(B119:H119)</f>
        <v>1834700</v>
      </c>
    </row>
    <row r="120" spans="1:10" ht="19.95" customHeight="1" x14ac:dyDescent="0.6">
      <c r="A120" s="13" t="s">
        <v>32</v>
      </c>
      <c r="B120" s="27">
        <v>12000</v>
      </c>
      <c r="C120" s="27">
        <v>12000</v>
      </c>
      <c r="D120" s="27">
        <v>12000</v>
      </c>
      <c r="E120" s="12">
        <f t="shared" ref="E120:E124" si="25">B120+C120+D120</f>
        <v>36000</v>
      </c>
      <c r="F120" s="27">
        <v>12000</v>
      </c>
      <c r="G120" s="27">
        <v>12000</v>
      </c>
      <c r="H120" s="27">
        <v>12000</v>
      </c>
      <c r="I120" s="12">
        <f t="shared" si="24"/>
        <v>36000</v>
      </c>
      <c r="J120" s="28">
        <f t="shared" ref="J120:J125" si="26">SUM(B120:H120)</f>
        <v>108000</v>
      </c>
    </row>
    <row r="121" spans="1:10" ht="19.95" customHeight="1" x14ac:dyDescent="0.6">
      <c r="A121" s="13" t="s">
        <v>33</v>
      </c>
      <c r="B121" s="27">
        <v>0</v>
      </c>
      <c r="C121" s="27">
        <v>66000</v>
      </c>
      <c r="D121" s="27">
        <v>74800</v>
      </c>
      <c r="E121" s="12">
        <f t="shared" si="25"/>
        <v>140800</v>
      </c>
      <c r="F121" s="27">
        <v>73400</v>
      </c>
      <c r="G121" s="27">
        <v>86300</v>
      </c>
      <c r="H121" s="27">
        <v>110700</v>
      </c>
      <c r="I121" s="12">
        <f t="shared" si="24"/>
        <v>270400</v>
      </c>
      <c r="J121" s="28">
        <f t="shared" si="26"/>
        <v>552000</v>
      </c>
    </row>
    <row r="122" spans="1:10" ht="19.95" customHeight="1" x14ac:dyDescent="0.6">
      <c r="A122" s="13" t="s">
        <v>34</v>
      </c>
      <c r="B122" s="27">
        <v>120532</v>
      </c>
      <c r="C122" s="27">
        <v>833</v>
      </c>
      <c r="D122" s="27">
        <v>2950</v>
      </c>
      <c r="E122" s="12">
        <f t="shared" si="25"/>
        <v>124315</v>
      </c>
      <c r="F122" s="27">
        <v>787</v>
      </c>
      <c r="G122" s="27">
        <v>0</v>
      </c>
      <c r="H122" s="27">
        <v>149931</v>
      </c>
      <c r="I122" s="12">
        <f t="shared" si="24"/>
        <v>150718</v>
      </c>
      <c r="J122" s="28">
        <f t="shared" si="26"/>
        <v>399348</v>
      </c>
    </row>
    <row r="123" spans="1:10" ht="19.95" customHeight="1" x14ac:dyDescent="0.6">
      <c r="A123" s="13" t="s">
        <v>35</v>
      </c>
      <c r="B123" s="27">
        <f>B150+B182+B210+B238+B266+B294+B323+B352+B381+B410</f>
        <v>0</v>
      </c>
      <c r="C123" s="27">
        <v>0</v>
      </c>
      <c r="D123" s="27">
        <v>0</v>
      </c>
      <c r="E123" s="12">
        <f t="shared" si="25"/>
        <v>0</v>
      </c>
      <c r="F123" s="27">
        <v>0</v>
      </c>
      <c r="G123" s="27">
        <v>0</v>
      </c>
      <c r="H123" s="27">
        <v>0</v>
      </c>
      <c r="I123" s="12">
        <f t="shared" si="24"/>
        <v>0</v>
      </c>
      <c r="J123" s="28">
        <f t="shared" si="26"/>
        <v>0</v>
      </c>
    </row>
    <row r="124" spans="1:10" ht="19.95" customHeight="1" x14ac:dyDescent="0.6">
      <c r="A124" s="13" t="s">
        <v>36</v>
      </c>
      <c r="B124" s="27">
        <v>0</v>
      </c>
      <c r="C124" s="27">
        <v>0</v>
      </c>
      <c r="D124" s="27">
        <v>0</v>
      </c>
      <c r="E124" s="12">
        <f t="shared" si="25"/>
        <v>0</v>
      </c>
      <c r="F124" s="27">
        <v>0</v>
      </c>
      <c r="G124" s="27">
        <v>0</v>
      </c>
      <c r="H124" s="27">
        <v>0</v>
      </c>
      <c r="I124" s="12">
        <f t="shared" si="24"/>
        <v>0</v>
      </c>
      <c r="J124" s="28">
        <f t="shared" si="26"/>
        <v>0</v>
      </c>
    </row>
    <row r="125" spans="1:10" ht="19.95" customHeight="1" x14ac:dyDescent="0.6">
      <c r="A125" s="14" t="s">
        <v>85</v>
      </c>
      <c r="B125" s="30">
        <v>0</v>
      </c>
      <c r="C125" s="30">
        <v>0</v>
      </c>
      <c r="D125" s="19">
        <v>0</v>
      </c>
      <c r="E125" s="26">
        <f>B125+C125+D126</f>
        <v>0</v>
      </c>
      <c r="F125" s="30">
        <v>0</v>
      </c>
      <c r="G125" s="30">
        <v>0</v>
      </c>
      <c r="H125" s="30">
        <v>0</v>
      </c>
      <c r="I125" s="26">
        <f t="shared" si="24"/>
        <v>0</v>
      </c>
      <c r="J125" s="28">
        <f t="shared" si="26"/>
        <v>0</v>
      </c>
    </row>
    <row r="126" spans="1:10" ht="19.95" customHeight="1" x14ac:dyDescent="0.6">
      <c r="A126" s="15" t="s">
        <v>86</v>
      </c>
      <c r="B126" s="67">
        <v>0</v>
      </c>
      <c r="C126" s="67">
        <v>0</v>
      </c>
      <c r="D126" s="30">
        <v>0</v>
      </c>
      <c r="E126" s="68" t="e">
        <f>B126+C126+#REF!</f>
        <v>#REF!</v>
      </c>
      <c r="F126" s="27">
        <v>0</v>
      </c>
      <c r="G126" s="67">
        <v>0</v>
      </c>
      <c r="H126" s="67">
        <v>0</v>
      </c>
      <c r="I126" s="68">
        <f t="shared" si="24"/>
        <v>0</v>
      </c>
      <c r="J126" s="28">
        <v>0</v>
      </c>
    </row>
    <row r="127" spans="1:10" ht="19.95" customHeight="1" thickBot="1" x14ac:dyDescent="0.65">
      <c r="A127" s="16" t="s">
        <v>37</v>
      </c>
      <c r="B127" s="25">
        <f>SUM(B119:B126)</f>
        <v>443292</v>
      </c>
      <c r="C127" s="25">
        <f t="shared" ref="C127" si="27">SUM(C119:C126)</f>
        <v>389593</v>
      </c>
      <c r="D127" s="25">
        <f>SUM(D119:D126)</f>
        <v>411240</v>
      </c>
      <c r="E127" s="25" t="e">
        <f t="shared" ref="E127:I127" si="28">SUM(E119:E126)</f>
        <v>#REF!</v>
      </c>
      <c r="F127" s="25">
        <f t="shared" si="28"/>
        <v>383417</v>
      </c>
      <c r="G127" s="25">
        <f t="shared" si="28"/>
        <v>395530</v>
      </c>
      <c r="H127" s="25">
        <f t="shared" si="28"/>
        <v>569861</v>
      </c>
      <c r="I127" s="25">
        <f t="shared" si="28"/>
        <v>1348808</v>
      </c>
      <c r="J127" s="25">
        <f>SUM(J119:J126)</f>
        <v>2894048</v>
      </c>
    </row>
    <row r="128" spans="1:10" ht="19.95" customHeight="1" thickTop="1" x14ac:dyDescent="0.6">
      <c r="A128" s="11" t="s">
        <v>27</v>
      </c>
      <c r="B128" s="24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</row>
    <row r="129" spans="1:10" ht="19.95" customHeight="1" x14ac:dyDescent="0.6">
      <c r="A129" s="16" t="s">
        <v>38</v>
      </c>
      <c r="B129" s="17">
        <f>SUM(B127:B128)</f>
        <v>443292</v>
      </c>
      <c r="C129" s="17">
        <f t="shared" ref="C129:J129" si="29">SUM(C127:C128)</f>
        <v>389593</v>
      </c>
      <c r="D129" s="17">
        <f t="shared" si="29"/>
        <v>411240</v>
      </c>
      <c r="E129" s="18" t="e">
        <f t="shared" si="29"/>
        <v>#REF!</v>
      </c>
      <c r="F129" s="17">
        <f t="shared" si="29"/>
        <v>383417</v>
      </c>
      <c r="G129" s="17">
        <f t="shared" si="29"/>
        <v>395530</v>
      </c>
      <c r="H129" s="17">
        <f t="shared" si="29"/>
        <v>569861</v>
      </c>
      <c r="I129" s="18">
        <f t="shared" si="29"/>
        <v>1348808</v>
      </c>
      <c r="J129" s="17">
        <f t="shared" si="29"/>
        <v>2894048</v>
      </c>
    </row>
    <row r="131" spans="1:10" ht="21" customHeight="1" x14ac:dyDescent="0.6">
      <c r="B131" s="32">
        <f t="shared" ref="B131:J131" si="30">SUM(B124:B125)</f>
        <v>0</v>
      </c>
      <c r="C131" s="32">
        <f t="shared" si="30"/>
        <v>0</v>
      </c>
      <c r="D131" s="32">
        <f t="shared" si="30"/>
        <v>0</v>
      </c>
      <c r="E131" s="32">
        <f t="shared" si="30"/>
        <v>0</v>
      </c>
      <c r="F131" s="32">
        <f t="shared" si="30"/>
        <v>0</v>
      </c>
      <c r="G131" s="32">
        <f t="shared" si="30"/>
        <v>0</v>
      </c>
      <c r="H131" s="32">
        <f t="shared" si="30"/>
        <v>0</v>
      </c>
      <c r="I131" s="32">
        <f t="shared" si="30"/>
        <v>0</v>
      </c>
      <c r="J131" s="32">
        <f t="shared" si="30"/>
        <v>0</v>
      </c>
    </row>
    <row r="142" spans="1:10" ht="21" customHeight="1" x14ac:dyDescent="0.6">
      <c r="A142" s="80" t="s">
        <v>78</v>
      </c>
      <c r="B142" s="80"/>
      <c r="C142" s="80"/>
      <c r="D142" s="80"/>
      <c r="E142" s="80"/>
      <c r="F142" s="80"/>
      <c r="G142" s="80"/>
      <c r="H142" s="80"/>
      <c r="I142" s="80"/>
      <c r="J142" s="80"/>
    </row>
    <row r="143" spans="1:10" ht="21" customHeight="1" x14ac:dyDescent="0.6">
      <c r="A143" s="80" t="s">
        <v>66</v>
      </c>
      <c r="B143" s="80"/>
      <c r="C143" s="80"/>
      <c r="D143" s="80"/>
      <c r="E143" s="80"/>
      <c r="F143" s="80"/>
      <c r="G143" s="80"/>
      <c r="H143" s="80"/>
      <c r="I143" s="80"/>
      <c r="J143" s="80"/>
    </row>
    <row r="144" spans="1:10" ht="21" customHeight="1" x14ac:dyDescent="0.6">
      <c r="A144" s="80" t="s">
        <v>49</v>
      </c>
      <c r="B144" s="80"/>
      <c r="C144" s="80"/>
      <c r="D144" s="80"/>
      <c r="E144" s="80"/>
      <c r="F144" s="80"/>
      <c r="G144" s="80"/>
      <c r="H144" s="80"/>
      <c r="I144" s="80"/>
      <c r="J144" s="80"/>
    </row>
    <row r="145" spans="1:10" s="6" customFormat="1" ht="33" customHeight="1" x14ac:dyDescent="0.6">
      <c r="A145" s="3" t="s">
        <v>50</v>
      </c>
      <c r="B145" s="4" t="s">
        <v>51</v>
      </c>
      <c r="C145" s="4" t="s">
        <v>52</v>
      </c>
      <c r="D145" s="4" t="s">
        <v>53</v>
      </c>
      <c r="E145" s="4" t="s">
        <v>30</v>
      </c>
      <c r="F145" s="4" t="s">
        <v>54</v>
      </c>
      <c r="G145" s="4" t="s">
        <v>55</v>
      </c>
      <c r="H145" s="4" t="s">
        <v>56</v>
      </c>
      <c r="I145" s="4" t="s">
        <v>31</v>
      </c>
      <c r="J145" s="5" t="s">
        <v>6</v>
      </c>
    </row>
    <row r="146" spans="1:10" ht="19.95" customHeight="1" x14ac:dyDescent="0.6">
      <c r="A146" s="8" t="s">
        <v>10</v>
      </c>
      <c r="B146" s="9"/>
      <c r="C146" s="9"/>
      <c r="D146" s="9"/>
      <c r="E146" s="10"/>
      <c r="F146" s="9"/>
      <c r="G146" s="9"/>
      <c r="H146" s="9"/>
      <c r="I146" s="10"/>
      <c r="J146" s="9"/>
    </row>
    <row r="147" spans="1:10" ht="19.95" customHeight="1" x14ac:dyDescent="0.6">
      <c r="A147" s="13" t="s">
        <v>59</v>
      </c>
      <c r="B147" s="27">
        <f>3404020.65+663890</f>
        <v>4067910.65</v>
      </c>
      <c r="C147" s="27">
        <f>3345492+663890</f>
        <v>4009382</v>
      </c>
      <c r="D147" s="27">
        <f>4102800.67+756140</f>
        <v>4858940.67</v>
      </c>
      <c r="E147" s="12"/>
      <c r="F147" s="27">
        <f>3648864.19+694640</f>
        <v>4343504.1899999995</v>
      </c>
      <c r="G147" s="27">
        <f>3640070+694640</f>
        <v>4334710</v>
      </c>
      <c r="H147" s="27">
        <f>3615012.41+694640</f>
        <v>4309652.41</v>
      </c>
      <c r="I147" s="12">
        <f t="shared" ref="I147:I154" si="31">F147+G147+H147</f>
        <v>12987866.6</v>
      </c>
      <c r="J147" s="28">
        <f>SUM(B147:H147)</f>
        <v>25924099.919999998</v>
      </c>
    </row>
    <row r="148" spans="1:10" ht="19.95" customHeight="1" x14ac:dyDescent="0.6">
      <c r="A148" s="13" t="s">
        <v>32</v>
      </c>
      <c r="B148" s="27">
        <f>1499611.68+252000</f>
        <v>1751611.68</v>
      </c>
      <c r="C148" s="27">
        <f>1500000+252000</f>
        <v>1752000</v>
      </c>
      <c r="D148" s="27">
        <f>1492602+241934.61</f>
        <v>1734536.6099999999</v>
      </c>
      <c r="E148" s="12">
        <f t="shared" ref="E148:E152" si="32">B148+C148+D148</f>
        <v>5238148.2899999991</v>
      </c>
      <c r="F148" s="27">
        <f>1565011.53+236129.03</f>
        <v>1801140.56</v>
      </c>
      <c r="G148" s="27">
        <f>1584000+240000</f>
        <v>1824000</v>
      </c>
      <c r="H148" s="27">
        <f>1533637.4+238398.22</f>
        <v>1772035.6199999999</v>
      </c>
      <c r="I148" s="12">
        <f t="shared" si="31"/>
        <v>5397176.1799999997</v>
      </c>
      <c r="J148" s="28">
        <f t="shared" ref="J148:J153" si="33">SUM(B148:H148)</f>
        <v>15873472.759999998</v>
      </c>
    </row>
    <row r="149" spans="1:10" ht="19.95" customHeight="1" x14ac:dyDescent="0.6">
      <c r="A149" s="13" t="s">
        <v>33</v>
      </c>
      <c r="B149" s="27">
        <v>0</v>
      </c>
      <c r="C149" s="27">
        <f>1446049+78678</f>
        <v>1524727</v>
      </c>
      <c r="D149" s="27">
        <f>1165478+78840</f>
        <v>1244318</v>
      </c>
      <c r="E149" s="12">
        <f t="shared" si="32"/>
        <v>2769045</v>
      </c>
      <c r="F149" s="27">
        <f>1456403+99118</f>
        <v>1555521</v>
      </c>
      <c r="G149" s="27">
        <f>1210819+98237</f>
        <v>1309056</v>
      </c>
      <c r="H149" s="27">
        <f>1376744+96375</f>
        <v>1473119</v>
      </c>
      <c r="I149" s="12">
        <f t="shared" si="31"/>
        <v>4337696</v>
      </c>
      <c r="J149" s="28">
        <f t="shared" si="33"/>
        <v>9875786</v>
      </c>
    </row>
    <row r="150" spans="1:10" ht="19.95" customHeight="1" x14ac:dyDescent="0.6">
      <c r="A150" s="13" t="s">
        <v>34</v>
      </c>
      <c r="B150" s="27">
        <v>0</v>
      </c>
      <c r="C150" s="27">
        <v>0</v>
      </c>
      <c r="D150" s="27">
        <v>0</v>
      </c>
      <c r="E150" s="12">
        <f t="shared" si="32"/>
        <v>0</v>
      </c>
      <c r="F150" s="27">
        <v>0</v>
      </c>
      <c r="G150" s="27">
        <v>0</v>
      </c>
      <c r="H150" s="27">
        <v>0</v>
      </c>
      <c r="I150" s="12">
        <f t="shared" si="31"/>
        <v>0</v>
      </c>
      <c r="J150" s="28">
        <f t="shared" si="33"/>
        <v>0</v>
      </c>
    </row>
    <row r="151" spans="1:10" ht="19.95" customHeight="1" x14ac:dyDescent="0.6">
      <c r="A151" s="13" t="s">
        <v>35</v>
      </c>
      <c r="B151" s="27">
        <f>B178+B210+B238+B266+B294+B323+B352+B381+B410+B439</f>
        <v>0</v>
      </c>
      <c r="C151" s="27">
        <v>0</v>
      </c>
      <c r="D151" s="27">
        <v>0</v>
      </c>
      <c r="E151" s="12">
        <f t="shared" si="32"/>
        <v>0</v>
      </c>
      <c r="F151" s="27">
        <v>0</v>
      </c>
      <c r="G151" s="27">
        <v>0</v>
      </c>
      <c r="H151" s="27">
        <v>0</v>
      </c>
      <c r="I151" s="12">
        <f t="shared" si="31"/>
        <v>0</v>
      </c>
      <c r="J151" s="28">
        <f t="shared" si="33"/>
        <v>0</v>
      </c>
    </row>
    <row r="152" spans="1:10" ht="19.95" customHeight="1" x14ac:dyDescent="0.6">
      <c r="A152" s="13" t="s">
        <v>36</v>
      </c>
      <c r="B152" s="27">
        <v>0</v>
      </c>
      <c r="C152" s="27">
        <v>0</v>
      </c>
      <c r="D152" s="27">
        <v>0</v>
      </c>
      <c r="E152" s="12">
        <f t="shared" si="32"/>
        <v>0</v>
      </c>
      <c r="F152" s="27">
        <v>0</v>
      </c>
      <c r="G152" s="27">
        <v>0</v>
      </c>
      <c r="H152" s="27">
        <v>0</v>
      </c>
      <c r="I152" s="12">
        <f t="shared" si="31"/>
        <v>0</v>
      </c>
      <c r="J152" s="28">
        <f t="shared" si="33"/>
        <v>0</v>
      </c>
    </row>
    <row r="153" spans="1:10" ht="19.95" customHeight="1" x14ac:dyDescent="0.6">
      <c r="A153" s="14" t="s">
        <v>85</v>
      </c>
      <c r="B153" s="30">
        <v>0</v>
      </c>
      <c r="C153" s="30">
        <v>0</v>
      </c>
      <c r="E153" s="26">
        <f>B153+C153+D154</f>
        <v>0</v>
      </c>
      <c r="F153" s="30">
        <v>0</v>
      </c>
      <c r="G153" s="30">
        <v>0</v>
      </c>
      <c r="H153" s="30">
        <v>0</v>
      </c>
      <c r="I153" s="26">
        <f t="shared" si="31"/>
        <v>0</v>
      </c>
      <c r="J153" s="28">
        <f t="shared" si="33"/>
        <v>0</v>
      </c>
    </row>
    <row r="154" spans="1:10" ht="19.95" customHeight="1" x14ac:dyDescent="0.6">
      <c r="A154" s="15" t="s">
        <v>86</v>
      </c>
      <c r="B154" s="67">
        <v>0</v>
      </c>
      <c r="C154" s="67">
        <v>0</v>
      </c>
      <c r="D154" s="30">
        <v>0</v>
      </c>
      <c r="E154" s="68" t="e">
        <f>B154+C154+#REF!</f>
        <v>#REF!</v>
      </c>
      <c r="F154" s="27">
        <v>246000</v>
      </c>
      <c r="G154" s="67">
        <v>863560</v>
      </c>
      <c r="H154" s="67">
        <v>12850</v>
      </c>
      <c r="I154" s="68">
        <f t="shared" si="31"/>
        <v>1122410</v>
      </c>
      <c r="J154" s="69">
        <f>SUM(F154:H154)</f>
        <v>1122410</v>
      </c>
    </row>
    <row r="155" spans="1:10" ht="19.95" customHeight="1" thickBot="1" x14ac:dyDescent="0.65">
      <c r="A155" s="16" t="s">
        <v>37</v>
      </c>
      <c r="B155" s="25">
        <f>SUM(B147:B154)</f>
        <v>5819522.3300000001</v>
      </c>
      <c r="C155" s="25">
        <f t="shared" ref="C155" si="34">SUM(C147:C154)</f>
        <v>7286109</v>
      </c>
      <c r="D155" s="25">
        <f>SUM(D147:D154)</f>
        <v>7837795.2799999993</v>
      </c>
      <c r="E155" s="25" t="e">
        <f t="shared" ref="E155:I155" si="35">SUM(E147:E154)</f>
        <v>#REF!</v>
      </c>
      <c r="F155" s="25">
        <f t="shared" si="35"/>
        <v>7946165.75</v>
      </c>
      <c r="G155" s="25">
        <f t="shared" si="35"/>
        <v>8331326</v>
      </c>
      <c r="H155" s="25">
        <f t="shared" si="35"/>
        <v>7567657.0300000003</v>
      </c>
      <c r="I155" s="25">
        <f t="shared" si="35"/>
        <v>23845148.780000001</v>
      </c>
      <c r="J155" s="25">
        <f>SUM(J147:J154)</f>
        <v>52795768.679999992</v>
      </c>
    </row>
    <row r="156" spans="1:10" ht="19.95" customHeight="1" thickTop="1" x14ac:dyDescent="0.6">
      <c r="A156" s="11" t="s">
        <v>27</v>
      </c>
      <c r="B156" s="24">
        <v>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</row>
    <row r="157" spans="1:10" ht="19.95" customHeight="1" x14ac:dyDescent="0.6">
      <c r="A157" s="16" t="s">
        <v>38</v>
      </c>
      <c r="B157" s="17">
        <f>SUM(B155:B156)</f>
        <v>5819522.3300000001</v>
      </c>
      <c r="C157" s="17">
        <f t="shared" ref="C157:J157" si="36">SUM(C155:C156)</f>
        <v>7286109</v>
      </c>
      <c r="D157" s="17">
        <f t="shared" si="36"/>
        <v>7837795.2799999993</v>
      </c>
      <c r="E157" s="18" t="e">
        <f t="shared" si="36"/>
        <v>#REF!</v>
      </c>
      <c r="F157" s="17">
        <f t="shared" si="36"/>
        <v>7946165.75</v>
      </c>
      <c r="G157" s="17">
        <f t="shared" si="36"/>
        <v>8331326</v>
      </c>
      <c r="H157" s="17">
        <f t="shared" si="36"/>
        <v>7567657.0300000003</v>
      </c>
      <c r="I157" s="18">
        <f t="shared" si="36"/>
        <v>23845148.780000001</v>
      </c>
      <c r="J157" s="17">
        <f t="shared" si="36"/>
        <v>52795768.679999992</v>
      </c>
    </row>
    <row r="159" spans="1:10" ht="21" customHeight="1" x14ac:dyDescent="0.6">
      <c r="B159" s="32">
        <f t="shared" ref="B159:J159" si="37">SUM(B152:B153)</f>
        <v>0</v>
      </c>
      <c r="C159" s="32">
        <f t="shared" si="37"/>
        <v>0</v>
      </c>
      <c r="D159" s="32">
        <f t="shared" si="37"/>
        <v>0</v>
      </c>
      <c r="E159" s="32">
        <f t="shared" si="37"/>
        <v>0</v>
      </c>
      <c r="F159" s="32">
        <f t="shared" si="37"/>
        <v>0</v>
      </c>
      <c r="G159" s="32">
        <f t="shared" si="37"/>
        <v>0</v>
      </c>
      <c r="H159" s="32">
        <f t="shared" si="37"/>
        <v>0</v>
      </c>
      <c r="I159" s="32">
        <f t="shared" si="37"/>
        <v>0</v>
      </c>
      <c r="J159" s="32">
        <f t="shared" si="37"/>
        <v>0</v>
      </c>
    </row>
    <row r="170" spans="1:10" ht="21" customHeight="1" x14ac:dyDescent="0.6">
      <c r="A170" s="80" t="s">
        <v>78</v>
      </c>
      <c r="B170" s="80"/>
      <c r="C170" s="80"/>
      <c r="D170" s="80"/>
      <c r="E170" s="80"/>
      <c r="F170" s="80"/>
      <c r="G170" s="80"/>
      <c r="H170" s="80"/>
      <c r="I170" s="80"/>
      <c r="J170" s="80"/>
    </row>
    <row r="171" spans="1:10" ht="21" customHeight="1" x14ac:dyDescent="0.6">
      <c r="A171" s="80" t="s">
        <v>67</v>
      </c>
      <c r="B171" s="80"/>
      <c r="C171" s="80"/>
      <c r="D171" s="80"/>
      <c r="E171" s="80"/>
      <c r="F171" s="80"/>
      <c r="G171" s="80"/>
      <c r="H171" s="80"/>
      <c r="I171" s="80"/>
      <c r="J171" s="80"/>
    </row>
    <row r="172" spans="1:10" ht="21" customHeight="1" x14ac:dyDescent="0.6">
      <c r="A172" s="80" t="s">
        <v>49</v>
      </c>
      <c r="B172" s="80"/>
      <c r="C172" s="80"/>
      <c r="D172" s="80"/>
      <c r="E172" s="80"/>
      <c r="F172" s="80"/>
      <c r="G172" s="80"/>
      <c r="H172" s="80"/>
      <c r="I172" s="80"/>
      <c r="J172" s="80"/>
    </row>
    <row r="173" spans="1:10" s="6" customFormat="1" ht="33" customHeight="1" x14ac:dyDescent="0.6">
      <c r="A173" s="3" t="s">
        <v>50</v>
      </c>
      <c r="B173" s="4" t="s">
        <v>51</v>
      </c>
      <c r="C173" s="4" t="s">
        <v>52</v>
      </c>
      <c r="D173" s="4" t="s">
        <v>53</v>
      </c>
      <c r="E173" s="4" t="s">
        <v>30</v>
      </c>
      <c r="F173" s="4" t="s">
        <v>54</v>
      </c>
      <c r="G173" s="4" t="s">
        <v>55</v>
      </c>
      <c r="H173" s="4" t="s">
        <v>56</v>
      </c>
      <c r="I173" s="4" t="s">
        <v>31</v>
      </c>
      <c r="J173" s="5" t="s">
        <v>6</v>
      </c>
    </row>
    <row r="174" spans="1:10" ht="19.95" customHeight="1" x14ac:dyDescent="0.6">
      <c r="A174" s="8" t="s">
        <v>10</v>
      </c>
      <c r="B174" s="9"/>
      <c r="C174" s="9"/>
      <c r="D174" s="9"/>
      <c r="E174" s="10"/>
      <c r="F174" s="9"/>
      <c r="G174" s="9"/>
      <c r="H174" s="9"/>
      <c r="I174" s="10"/>
      <c r="J174" s="9"/>
    </row>
    <row r="175" spans="1:10" ht="19.95" customHeight="1" x14ac:dyDescent="0.6">
      <c r="A175" s="13" t="s">
        <v>59</v>
      </c>
      <c r="B175" s="27">
        <v>737239.35</v>
      </c>
      <c r="C175" s="27">
        <v>797715.34</v>
      </c>
      <c r="D175" s="27">
        <v>876800</v>
      </c>
      <c r="E175" s="12"/>
      <c r="F175" s="27">
        <v>832036</v>
      </c>
      <c r="G175" s="27">
        <v>816047.59</v>
      </c>
      <c r="H175" s="27">
        <v>802770</v>
      </c>
      <c r="I175" s="12">
        <f t="shared" ref="I175:I182" si="38">F175+G175+H175</f>
        <v>2450853.59</v>
      </c>
      <c r="J175" s="28">
        <f>SUM(B175:H175)</f>
        <v>4862608.2799999993</v>
      </c>
    </row>
    <row r="176" spans="1:10" ht="19.95" customHeight="1" x14ac:dyDescent="0.6">
      <c r="A176" s="13" t="s">
        <v>32</v>
      </c>
      <c r="B176" s="27">
        <v>12000</v>
      </c>
      <c r="C176" s="27">
        <v>12000</v>
      </c>
      <c r="D176" s="27">
        <v>12000</v>
      </c>
      <c r="E176" s="12">
        <f t="shared" ref="E176:E180" si="39">B176+C176+D176</f>
        <v>36000</v>
      </c>
      <c r="F176" s="27">
        <v>12000</v>
      </c>
      <c r="G176" s="27">
        <v>12000</v>
      </c>
      <c r="H176" s="27">
        <v>12000</v>
      </c>
      <c r="I176" s="12">
        <f t="shared" si="38"/>
        <v>36000</v>
      </c>
      <c r="J176" s="28">
        <f t="shared" ref="J176:J181" si="40">SUM(B176:H176)</f>
        <v>108000</v>
      </c>
    </row>
    <row r="177" spans="1:10" ht="19.95" customHeight="1" x14ac:dyDescent="0.6">
      <c r="A177" s="13" t="s">
        <v>33</v>
      </c>
      <c r="B177" s="27">
        <v>0</v>
      </c>
      <c r="C177" s="27">
        <v>220111</v>
      </c>
      <c r="D177" s="27">
        <v>199531</v>
      </c>
      <c r="E177" s="12">
        <f t="shared" si="39"/>
        <v>419642</v>
      </c>
      <c r="F177" s="27">
        <v>244021</v>
      </c>
      <c r="G177" s="27">
        <v>197895.69</v>
      </c>
      <c r="H177" s="27">
        <v>219321</v>
      </c>
      <c r="I177" s="12">
        <f t="shared" si="38"/>
        <v>661237.68999999994</v>
      </c>
      <c r="J177" s="28">
        <f t="shared" si="40"/>
        <v>1500521.69</v>
      </c>
    </row>
    <row r="178" spans="1:10" ht="19.95" customHeight="1" x14ac:dyDescent="0.6">
      <c r="A178" s="13" t="s">
        <v>34</v>
      </c>
      <c r="B178" s="27">
        <v>0</v>
      </c>
      <c r="C178" s="27">
        <v>0</v>
      </c>
      <c r="D178" s="27">
        <v>0</v>
      </c>
      <c r="E178" s="12">
        <f t="shared" si="39"/>
        <v>0</v>
      </c>
      <c r="F178" s="27">
        <v>0</v>
      </c>
      <c r="G178" s="27">
        <v>0</v>
      </c>
      <c r="H178" s="27">
        <v>0</v>
      </c>
      <c r="I178" s="12">
        <f t="shared" si="38"/>
        <v>0</v>
      </c>
      <c r="J178" s="28">
        <f t="shared" si="40"/>
        <v>0</v>
      </c>
    </row>
    <row r="179" spans="1:10" ht="19.95" customHeight="1" x14ac:dyDescent="0.6">
      <c r="A179" s="13" t="s">
        <v>35</v>
      </c>
      <c r="B179" s="27">
        <f>B206+B238+B266+B294+B323+B352+B381+B410+B439+B468</f>
        <v>0</v>
      </c>
      <c r="C179" s="27">
        <v>0</v>
      </c>
      <c r="D179" s="27">
        <v>0</v>
      </c>
      <c r="E179" s="12">
        <f t="shared" si="39"/>
        <v>0</v>
      </c>
      <c r="F179" s="27">
        <v>0</v>
      </c>
      <c r="G179" s="27">
        <v>0</v>
      </c>
      <c r="H179" s="27">
        <v>0</v>
      </c>
      <c r="I179" s="12">
        <f t="shared" si="38"/>
        <v>0</v>
      </c>
      <c r="J179" s="28">
        <f t="shared" si="40"/>
        <v>0</v>
      </c>
    </row>
    <row r="180" spans="1:10" ht="19.95" customHeight="1" x14ac:dyDescent="0.6">
      <c r="A180" s="13" t="s">
        <v>36</v>
      </c>
      <c r="B180" s="27">
        <v>0</v>
      </c>
      <c r="C180" s="27">
        <v>0</v>
      </c>
      <c r="D180" s="27">
        <v>0</v>
      </c>
      <c r="E180" s="12">
        <f t="shared" si="39"/>
        <v>0</v>
      </c>
      <c r="F180" s="27">
        <v>0</v>
      </c>
      <c r="G180" s="27">
        <v>0</v>
      </c>
      <c r="H180" s="27">
        <v>0</v>
      </c>
      <c r="I180" s="12">
        <f t="shared" si="38"/>
        <v>0</v>
      </c>
      <c r="J180" s="28">
        <f t="shared" si="40"/>
        <v>0</v>
      </c>
    </row>
    <row r="181" spans="1:10" ht="19.95" customHeight="1" x14ac:dyDescent="0.6">
      <c r="A181" s="14" t="s">
        <v>85</v>
      </c>
      <c r="B181" s="30">
        <v>0</v>
      </c>
      <c r="C181" s="30">
        <v>0</v>
      </c>
      <c r="E181" s="26">
        <f>B181+C181+D182</f>
        <v>0</v>
      </c>
      <c r="F181" s="30">
        <v>0</v>
      </c>
      <c r="G181" s="30">
        <v>0</v>
      </c>
      <c r="H181" s="30">
        <v>0</v>
      </c>
      <c r="I181" s="26">
        <f t="shared" si="38"/>
        <v>0</v>
      </c>
      <c r="J181" s="28">
        <f t="shared" si="40"/>
        <v>0</v>
      </c>
    </row>
    <row r="182" spans="1:10" ht="19.95" customHeight="1" x14ac:dyDescent="0.6">
      <c r="A182" s="15" t="s">
        <v>86</v>
      </c>
      <c r="B182" s="67">
        <v>0</v>
      </c>
      <c r="C182" s="67">
        <v>0</v>
      </c>
      <c r="D182" s="30">
        <v>0</v>
      </c>
      <c r="E182" s="68" t="e">
        <f>B182+C182+#REF!</f>
        <v>#REF!</v>
      </c>
      <c r="F182" s="27">
        <v>0</v>
      </c>
      <c r="G182" s="67">
        <v>0</v>
      </c>
      <c r="H182" s="67">
        <v>0</v>
      </c>
      <c r="I182" s="68">
        <f t="shared" si="38"/>
        <v>0</v>
      </c>
      <c r="J182" s="28">
        <v>0</v>
      </c>
    </row>
    <row r="183" spans="1:10" ht="19.95" customHeight="1" thickBot="1" x14ac:dyDescent="0.65">
      <c r="A183" s="16" t="s">
        <v>37</v>
      </c>
      <c r="B183" s="25">
        <f>SUM(B175:B182)</f>
        <v>749239.35</v>
      </c>
      <c r="C183" s="25">
        <f t="shared" ref="C183" si="41">SUM(C175:C182)</f>
        <v>1029826.34</v>
      </c>
      <c r="D183" s="25">
        <f>SUM(D175:D182)</f>
        <v>1088331</v>
      </c>
      <c r="E183" s="25" t="e">
        <f t="shared" ref="E183:I183" si="42">SUM(E175:E182)</f>
        <v>#REF!</v>
      </c>
      <c r="F183" s="25">
        <f t="shared" si="42"/>
        <v>1088057</v>
      </c>
      <c r="G183" s="25">
        <f t="shared" si="42"/>
        <v>1025943.28</v>
      </c>
      <c r="H183" s="25">
        <f t="shared" si="42"/>
        <v>1034091</v>
      </c>
      <c r="I183" s="25">
        <f t="shared" si="42"/>
        <v>3148091.28</v>
      </c>
      <c r="J183" s="25">
        <f>SUM(J175:J182)</f>
        <v>6471129.9699999988</v>
      </c>
    </row>
    <row r="184" spans="1:10" ht="19.95" customHeight="1" thickTop="1" x14ac:dyDescent="0.6">
      <c r="A184" s="11" t="s">
        <v>27</v>
      </c>
      <c r="B184" s="24">
        <v>0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</row>
    <row r="185" spans="1:10" ht="19.95" customHeight="1" x14ac:dyDescent="0.6">
      <c r="A185" s="16" t="s">
        <v>38</v>
      </c>
      <c r="B185" s="17">
        <f>SUM(B183:B184)</f>
        <v>749239.35</v>
      </c>
      <c r="C185" s="17">
        <f t="shared" ref="C185:J185" si="43">SUM(C183:C184)</f>
        <v>1029826.34</v>
      </c>
      <c r="D185" s="17">
        <f t="shared" si="43"/>
        <v>1088331</v>
      </c>
      <c r="E185" s="18" t="e">
        <f t="shared" si="43"/>
        <v>#REF!</v>
      </c>
      <c r="F185" s="17">
        <f t="shared" si="43"/>
        <v>1088057</v>
      </c>
      <c r="G185" s="17">
        <f t="shared" si="43"/>
        <v>1025943.28</v>
      </c>
      <c r="H185" s="17">
        <f t="shared" si="43"/>
        <v>1034091</v>
      </c>
      <c r="I185" s="18">
        <f t="shared" si="43"/>
        <v>3148091.28</v>
      </c>
      <c r="J185" s="17">
        <f t="shared" si="43"/>
        <v>6471129.9699999988</v>
      </c>
    </row>
    <row r="186" spans="1:10" ht="21" customHeight="1" x14ac:dyDescent="0.6">
      <c r="B186" s="33">
        <f t="shared" ref="B186:J186" si="44">SUM(B180:B181)</f>
        <v>0</v>
      </c>
      <c r="C186" s="33">
        <f t="shared" si="44"/>
        <v>0</v>
      </c>
      <c r="D186" s="33">
        <f t="shared" si="44"/>
        <v>0</v>
      </c>
      <c r="E186" s="33">
        <f t="shared" si="44"/>
        <v>0</v>
      </c>
      <c r="F186" s="33">
        <f t="shared" si="44"/>
        <v>0</v>
      </c>
      <c r="G186" s="33">
        <f t="shared" si="44"/>
        <v>0</v>
      </c>
      <c r="H186" s="33">
        <f t="shared" si="44"/>
        <v>0</v>
      </c>
      <c r="I186" s="33">
        <f t="shared" si="44"/>
        <v>0</v>
      </c>
      <c r="J186" s="33">
        <f t="shared" si="44"/>
        <v>0</v>
      </c>
    </row>
    <row r="198" spans="1:10" ht="21" customHeight="1" x14ac:dyDescent="0.6">
      <c r="A198" s="80" t="s">
        <v>78</v>
      </c>
      <c r="B198" s="80"/>
      <c r="C198" s="80"/>
      <c r="D198" s="80"/>
      <c r="E198" s="80"/>
      <c r="F198" s="80"/>
      <c r="G198" s="80"/>
      <c r="H198" s="80"/>
      <c r="I198" s="80"/>
      <c r="J198" s="80"/>
    </row>
    <row r="199" spans="1:10" ht="21" customHeight="1" x14ac:dyDescent="0.6">
      <c r="A199" s="80" t="s">
        <v>68</v>
      </c>
      <c r="B199" s="80"/>
      <c r="C199" s="80"/>
      <c r="D199" s="80"/>
      <c r="E199" s="80"/>
      <c r="F199" s="80"/>
      <c r="G199" s="80"/>
      <c r="H199" s="80"/>
      <c r="I199" s="80"/>
      <c r="J199" s="80"/>
    </row>
    <row r="200" spans="1:10" ht="21" customHeight="1" x14ac:dyDescent="0.6">
      <c r="A200" s="79" t="s">
        <v>49</v>
      </c>
      <c r="B200" s="79"/>
      <c r="C200" s="79"/>
      <c r="D200" s="79"/>
      <c r="E200" s="79"/>
      <c r="F200" s="79"/>
      <c r="G200" s="79"/>
      <c r="H200" s="79"/>
      <c r="I200" s="79"/>
      <c r="J200" s="79"/>
    </row>
    <row r="201" spans="1:10" s="6" customFormat="1" ht="33" customHeight="1" x14ac:dyDescent="0.6">
      <c r="A201" s="3" t="s">
        <v>50</v>
      </c>
      <c r="B201" s="4" t="s">
        <v>51</v>
      </c>
      <c r="C201" s="4" t="s">
        <v>52</v>
      </c>
      <c r="D201" s="4" t="s">
        <v>53</v>
      </c>
      <c r="E201" s="4" t="s">
        <v>30</v>
      </c>
      <c r="F201" s="4" t="s">
        <v>54</v>
      </c>
      <c r="G201" s="4" t="s">
        <v>55</v>
      </c>
      <c r="H201" s="4" t="s">
        <v>56</v>
      </c>
      <c r="I201" s="4" t="s">
        <v>31</v>
      </c>
      <c r="J201" s="5" t="s">
        <v>6</v>
      </c>
    </row>
    <row r="202" spans="1:10" ht="19.95" customHeight="1" x14ac:dyDescent="0.6">
      <c r="A202" s="8" t="s">
        <v>10</v>
      </c>
      <c r="B202" s="9"/>
      <c r="C202" s="9"/>
      <c r="D202" s="9"/>
      <c r="E202" s="10"/>
      <c r="F202" s="9"/>
      <c r="G202" s="9"/>
      <c r="H202" s="9"/>
      <c r="I202" s="10"/>
      <c r="J202" s="9"/>
    </row>
    <row r="203" spans="1:10" ht="19.95" customHeight="1" x14ac:dyDescent="0.6">
      <c r="A203" s="13" t="s">
        <v>59</v>
      </c>
      <c r="B203" s="27">
        <f>613790+812730</f>
        <v>1426520</v>
      </c>
      <c r="C203" s="27">
        <f>613790+812730</f>
        <v>1426520</v>
      </c>
      <c r="D203" s="27">
        <f>652290+909540</f>
        <v>1561830</v>
      </c>
      <c r="E203" s="12"/>
      <c r="F203" s="27">
        <f>593445.66+845000</f>
        <v>1438445.6600000001</v>
      </c>
      <c r="G203" s="27">
        <f>550190+845000</f>
        <v>1395190</v>
      </c>
      <c r="H203" s="27">
        <f>594680+845000</f>
        <v>1439680</v>
      </c>
      <c r="I203" s="12">
        <f t="shared" ref="I203:I210" si="45">F203+G203+H203</f>
        <v>4273315.66</v>
      </c>
      <c r="J203" s="28">
        <f>SUM(B203:H203)</f>
        <v>8688185.6600000001</v>
      </c>
    </row>
    <row r="204" spans="1:10" ht="19.95" customHeight="1" x14ac:dyDescent="0.6">
      <c r="A204" s="13" t="s">
        <v>32</v>
      </c>
      <c r="B204" s="27">
        <f>48000+120000</f>
        <v>168000</v>
      </c>
      <c r="C204" s="27">
        <f>48000+132000</f>
        <v>180000</v>
      </c>
      <c r="D204" s="27">
        <f>48000+132000</f>
        <v>180000</v>
      </c>
      <c r="E204" s="12">
        <f t="shared" ref="E204:E208" si="46">B204+C204+D204</f>
        <v>528000</v>
      </c>
      <c r="F204" s="27">
        <f>48000+143611.68</f>
        <v>191611.68</v>
      </c>
      <c r="G204" s="27">
        <f>44903.23+144000</f>
        <v>188903.23</v>
      </c>
      <c r="H204" s="27">
        <f>48000+132000</f>
        <v>180000</v>
      </c>
      <c r="I204" s="12">
        <f t="shared" si="45"/>
        <v>560514.91</v>
      </c>
      <c r="J204" s="28">
        <f t="shared" ref="J204:J209" si="47">SUM(B204:H204)</f>
        <v>1616514.91</v>
      </c>
    </row>
    <row r="205" spans="1:10" ht="19.95" customHeight="1" x14ac:dyDescent="0.6">
      <c r="A205" s="13" t="s">
        <v>33</v>
      </c>
      <c r="B205" s="27">
        <v>0</v>
      </c>
      <c r="C205" s="27">
        <f>209343+172690</f>
        <v>382033</v>
      </c>
      <c r="D205" s="27">
        <v>-23629</v>
      </c>
      <c r="E205" s="12">
        <f t="shared" si="46"/>
        <v>358404</v>
      </c>
      <c r="F205" s="27">
        <f>154683+153731</f>
        <v>308414</v>
      </c>
      <c r="G205" s="27">
        <f>1981280.87+120372</f>
        <v>2101652.87</v>
      </c>
      <c r="H205" s="27">
        <f>4019126+36004</f>
        <v>4055130</v>
      </c>
      <c r="I205" s="12">
        <f t="shared" si="45"/>
        <v>6465196.8700000001</v>
      </c>
      <c r="J205" s="28">
        <f t="shared" si="47"/>
        <v>7182004.8700000001</v>
      </c>
    </row>
    <row r="206" spans="1:10" ht="19.95" customHeight="1" x14ac:dyDescent="0.6">
      <c r="A206" s="13" t="s">
        <v>34</v>
      </c>
      <c r="B206" s="27">
        <v>0</v>
      </c>
      <c r="C206" s="27">
        <v>0</v>
      </c>
      <c r="D206" s="27">
        <v>0</v>
      </c>
      <c r="E206" s="12">
        <f t="shared" si="46"/>
        <v>0</v>
      </c>
      <c r="F206" s="27">
        <v>0</v>
      </c>
      <c r="G206" s="27">
        <v>0</v>
      </c>
      <c r="H206" s="27">
        <v>0</v>
      </c>
      <c r="I206" s="12">
        <f t="shared" si="45"/>
        <v>0</v>
      </c>
      <c r="J206" s="28">
        <f t="shared" si="47"/>
        <v>0</v>
      </c>
    </row>
    <row r="207" spans="1:10" ht="19.95" customHeight="1" x14ac:dyDescent="0.6">
      <c r="A207" s="13" t="s">
        <v>35</v>
      </c>
      <c r="B207" s="27">
        <v>0</v>
      </c>
      <c r="C207" s="27">
        <v>0</v>
      </c>
      <c r="D207" s="27">
        <v>0</v>
      </c>
      <c r="E207" s="12">
        <f t="shared" si="46"/>
        <v>0</v>
      </c>
      <c r="F207" s="27">
        <v>0</v>
      </c>
      <c r="G207" s="27">
        <v>0</v>
      </c>
      <c r="H207" s="27">
        <v>0</v>
      </c>
      <c r="I207" s="12">
        <f t="shared" si="45"/>
        <v>0</v>
      </c>
      <c r="J207" s="28">
        <f t="shared" si="47"/>
        <v>0</v>
      </c>
    </row>
    <row r="208" spans="1:10" ht="19.95" customHeight="1" x14ac:dyDescent="0.6">
      <c r="A208" s="13" t="s">
        <v>36</v>
      </c>
      <c r="B208" s="27">
        <v>0</v>
      </c>
      <c r="C208" s="27">
        <v>0</v>
      </c>
      <c r="D208" s="27">
        <v>0</v>
      </c>
      <c r="E208" s="12">
        <f t="shared" si="46"/>
        <v>0</v>
      </c>
      <c r="F208" s="27">
        <v>0</v>
      </c>
      <c r="G208" s="27">
        <v>0</v>
      </c>
      <c r="H208" s="27">
        <v>0</v>
      </c>
      <c r="I208" s="12">
        <f t="shared" si="45"/>
        <v>0</v>
      </c>
      <c r="J208" s="28">
        <f t="shared" si="47"/>
        <v>0</v>
      </c>
    </row>
    <row r="209" spans="1:10" ht="19.95" customHeight="1" x14ac:dyDescent="0.6">
      <c r="A209" s="14" t="s">
        <v>85</v>
      </c>
      <c r="B209" s="30">
        <v>0</v>
      </c>
      <c r="C209" s="30">
        <v>0</v>
      </c>
      <c r="E209" s="26">
        <f>B209+C209+D210</f>
        <v>0</v>
      </c>
      <c r="F209" s="30">
        <v>0</v>
      </c>
      <c r="G209" s="30">
        <v>0</v>
      </c>
      <c r="H209" s="30">
        <v>0</v>
      </c>
      <c r="I209" s="26">
        <f t="shared" si="45"/>
        <v>0</v>
      </c>
      <c r="J209" s="28">
        <f t="shared" si="47"/>
        <v>0</v>
      </c>
    </row>
    <row r="210" spans="1:10" ht="19.95" customHeight="1" x14ac:dyDescent="0.6">
      <c r="A210" s="15" t="s">
        <v>86</v>
      </c>
      <c r="B210" s="67">
        <v>0</v>
      </c>
      <c r="C210" s="67">
        <v>0</v>
      </c>
      <c r="D210" s="30">
        <v>0</v>
      </c>
      <c r="E210" s="68" t="e">
        <f>B210+C210+#REF!</f>
        <v>#REF!</v>
      </c>
      <c r="F210" s="27">
        <v>0</v>
      </c>
      <c r="G210" s="67">
        <v>0</v>
      </c>
      <c r="H210" s="67">
        <v>0</v>
      </c>
      <c r="I210" s="68">
        <f t="shared" si="45"/>
        <v>0</v>
      </c>
      <c r="J210" s="28">
        <v>0</v>
      </c>
    </row>
    <row r="211" spans="1:10" ht="19.95" customHeight="1" thickBot="1" x14ac:dyDescent="0.65">
      <c r="A211" s="16" t="s">
        <v>37</v>
      </c>
      <c r="B211" s="25">
        <f>SUM(B203:B210)</f>
        <v>1594520</v>
      </c>
      <c r="C211" s="25">
        <f t="shared" ref="C211" si="48">SUM(C203:C210)</f>
        <v>1988553</v>
      </c>
      <c r="D211" s="25">
        <f>SUM(D203:D210)</f>
        <v>1718201</v>
      </c>
      <c r="E211" s="25" t="e">
        <f t="shared" ref="E211:I211" si="49">SUM(E203:E210)</f>
        <v>#REF!</v>
      </c>
      <c r="F211" s="25">
        <f t="shared" si="49"/>
        <v>1938471.34</v>
      </c>
      <c r="G211" s="25">
        <f t="shared" si="49"/>
        <v>3685746.1</v>
      </c>
      <c r="H211" s="25">
        <f t="shared" si="49"/>
        <v>5674810</v>
      </c>
      <c r="I211" s="25">
        <f t="shared" si="49"/>
        <v>11299027.440000001</v>
      </c>
      <c r="J211" s="25">
        <f>SUM(J203:J210)</f>
        <v>17486705.440000001</v>
      </c>
    </row>
    <row r="212" spans="1:10" ht="19.95" customHeight="1" thickTop="1" x14ac:dyDescent="0.6">
      <c r="A212" s="11" t="s">
        <v>27</v>
      </c>
      <c r="B212" s="24">
        <v>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</row>
    <row r="213" spans="1:10" ht="19.95" customHeight="1" x14ac:dyDescent="0.6">
      <c r="A213" s="16" t="s">
        <v>38</v>
      </c>
      <c r="B213" s="17">
        <f>SUM(B211:B212)</f>
        <v>1594520</v>
      </c>
      <c r="C213" s="17">
        <f t="shared" ref="C213:J213" si="50">SUM(C211:C212)</f>
        <v>1988553</v>
      </c>
      <c r="D213" s="17">
        <f t="shared" si="50"/>
        <v>1718201</v>
      </c>
      <c r="E213" s="18" t="e">
        <f t="shared" si="50"/>
        <v>#REF!</v>
      </c>
      <c r="F213" s="17">
        <f t="shared" si="50"/>
        <v>1938471.34</v>
      </c>
      <c r="G213" s="17">
        <f t="shared" si="50"/>
        <v>3685746.1</v>
      </c>
      <c r="H213" s="17">
        <f t="shared" si="50"/>
        <v>5674810</v>
      </c>
      <c r="I213" s="18">
        <f t="shared" si="50"/>
        <v>11299027.440000001</v>
      </c>
      <c r="J213" s="17">
        <f t="shared" si="50"/>
        <v>17486705.440000001</v>
      </c>
    </row>
    <row r="215" spans="1:10" ht="21" customHeight="1" x14ac:dyDescent="0.6">
      <c r="B215" s="32">
        <f t="shared" ref="B215:J215" si="51">SUM(B208:B209)</f>
        <v>0</v>
      </c>
      <c r="C215" s="32">
        <f t="shared" si="51"/>
        <v>0</v>
      </c>
      <c r="D215" s="32">
        <f t="shared" si="51"/>
        <v>0</v>
      </c>
      <c r="E215" s="32">
        <f t="shared" si="51"/>
        <v>0</v>
      </c>
      <c r="F215" s="32">
        <f t="shared" si="51"/>
        <v>0</v>
      </c>
      <c r="G215" s="32">
        <f t="shared" si="51"/>
        <v>0</v>
      </c>
      <c r="H215" s="32">
        <f t="shared" si="51"/>
        <v>0</v>
      </c>
      <c r="I215" s="32">
        <f t="shared" si="51"/>
        <v>0</v>
      </c>
      <c r="J215" s="32">
        <f t="shared" si="51"/>
        <v>0</v>
      </c>
    </row>
    <row r="226" spans="1:10" ht="21" customHeight="1" x14ac:dyDescent="0.6">
      <c r="A226" s="80" t="s">
        <v>78</v>
      </c>
      <c r="B226" s="80"/>
      <c r="C226" s="80"/>
      <c r="D226" s="80"/>
      <c r="E226" s="80"/>
      <c r="F226" s="80"/>
      <c r="G226" s="80"/>
      <c r="H226" s="80"/>
      <c r="I226" s="80"/>
      <c r="J226" s="80"/>
    </row>
    <row r="227" spans="1:10" ht="21" customHeight="1" x14ac:dyDescent="0.6">
      <c r="A227" s="80" t="s">
        <v>69</v>
      </c>
      <c r="B227" s="80"/>
      <c r="C227" s="80"/>
      <c r="D227" s="80"/>
      <c r="E227" s="80"/>
      <c r="F227" s="80"/>
      <c r="G227" s="80"/>
      <c r="H227" s="80"/>
      <c r="I227" s="80"/>
      <c r="J227" s="80"/>
    </row>
    <row r="228" spans="1:10" ht="21" customHeight="1" x14ac:dyDescent="0.6">
      <c r="A228" s="80" t="s">
        <v>49</v>
      </c>
      <c r="B228" s="80"/>
      <c r="C228" s="80"/>
      <c r="D228" s="80"/>
      <c r="E228" s="80"/>
      <c r="F228" s="80"/>
      <c r="G228" s="80"/>
      <c r="H228" s="80"/>
      <c r="I228" s="80"/>
      <c r="J228" s="80"/>
    </row>
    <row r="229" spans="1:10" s="6" customFormat="1" ht="33" customHeight="1" x14ac:dyDescent="0.6">
      <c r="A229" s="3" t="s">
        <v>50</v>
      </c>
      <c r="B229" s="4" t="s">
        <v>51</v>
      </c>
      <c r="C229" s="4" t="s">
        <v>52</v>
      </c>
      <c r="D229" s="4" t="s">
        <v>53</v>
      </c>
      <c r="E229" s="4" t="s">
        <v>30</v>
      </c>
      <c r="F229" s="4" t="s">
        <v>54</v>
      </c>
      <c r="G229" s="4" t="s">
        <v>55</v>
      </c>
      <c r="H229" s="4" t="s">
        <v>56</v>
      </c>
      <c r="I229" s="4" t="s">
        <v>31</v>
      </c>
      <c r="J229" s="5" t="s">
        <v>6</v>
      </c>
    </row>
    <row r="230" spans="1:10" ht="19.95" customHeight="1" x14ac:dyDescent="0.6">
      <c r="A230" s="8" t="s">
        <v>10</v>
      </c>
      <c r="B230" s="9"/>
      <c r="C230" s="9"/>
      <c r="D230" s="9"/>
      <c r="E230" s="10"/>
      <c r="F230" s="9"/>
      <c r="G230" s="9"/>
      <c r="H230" s="9"/>
      <c r="I230" s="10"/>
      <c r="J230" s="9"/>
    </row>
    <row r="231" spans="1:10" ht="19.95" customHeight="1" x14ac:dyDescent="0.6">
      <c r="A231" s="13" t="s">
        <v>59</v>
      </c>
      <c r="B231" s="27">
        <v>330930</v>
      </c>
      <c r="C231" s="27">
        <v>330930</v>
      </c>
      <c r="D231" s="27">
        <v>369130</v>
      </c>
      <c r="E231" s="12"/>
      <c r="F231" s="27">
        <v>356717.73</v>
      </c>
      <c r="G231" s="27">
        <v>357150</v>
      </c>
      <c r="H231" s="27">
        <v>357150</v>
      </c>
      <c r="I231" s="12">
        <f t="shared" ref="I231:I238" si="52">F231+G231+H231</f>
        <v>1071017.73</v>
      </c>
      <c r="J231" s="28">
        <f>SUM(B231:H231)</f>
        <v>2102007.73</v>
      </c>
    </row>
    <row r="232" spans="1:10" ht="19.95" customHeight="1" x14ac:dyDescent="0.6">
      <c r="A232" s="13" t="s">
        <v>32</v>
      </c>
      <c r="B232" s="27">
        <v>36000</v>
      </c>
      <c r="C232" s="27">
        <v>36000</v>
      </c>
      <c r="D232" s="27">
        <v>36000</v>
      </c>
      <c r="E232" s="12">
        <f t="shared" ref="E232:E236" si="53">B232+C232+D232</f>
        <v>108000</v>
      </c>
      <c r="F232" s="27">
        <v>24000</v>
      </c>
      <c r="G232" s="27">
        <v>24000</v>
      </c>
      <c r="H232" s="27">
        <v>24000</v>
      </c>
      <c r="I232" s="12">
        <f t="shared" si="52"/>
        <v>72000</v>
      </c>
      <c r="J232" s="28">
        <f t="shared" ref="J232:J236" si="54">SUM(B232:H232)</f>
        <v>288000</v>
      </c>
    </row>
    <row r="233" spans="1:10" ht="19.95" customHeight="1" x14ac:dyDescent="0.6">
      <c r="A233" s="13" t="s">
        <v>33</v>
      </c>
      <c r="B233" s="27">
        <v>1191200</v>
      </c>
      <c r="C233" s="27">
        <v>1516347.02</v>
      </c>
      <c r="D233" s="27">
        <v>1642614.62</v>
      </c>
      <c r="E233" s="12">
        <f t="shared" si="53"/>
        <v>4350161.6400000006</v>
      </c>
      <c r="F233" s="27">
        <v>2045460.75</v>
      </c>
      <c r="G233" s="27">
        <v>1350795.91</v>
      </c>
      <c r="H233" s="27">
        <v>1459446</v>
      </c>
      <c r="I233" s="12">
        <f t="shared" si="52"/>
        <v>4855702.66</v>
      </c>
      <c r="J233" s="28">
        <f t="shared" si="54"/>
        <v>13556025.940000001</v>
      </c>
    </row>
    <row r="234" spans="1:10" ht="19.95" customHeight="1" x14ac:dyDescent="0.6">
      <c r="A234" s="13" t="s">
        <v>34</v>
      </c>
      <c r="B234" s="27">
        <v>2140.13</v>
      </c>
      <c r="C234" s="27">
        <v>2118.92</v>
      </c>
      <c r="D234" s="27">
        <v>247.54</v>
      </c>
      <c r="E234" s="12">
        <f t="shared" si="53"/>
        <v>4506.59</v>
      </c>
      <c r="F234" s="27">
        <v>3294.38</v>
      </c>
      <c r="G234" s="27">
        <v>1978.73</v>
      </c>
      <c r="H234" s="27">
        <v>2114.52</v>
      </c>
      <c r="I234" s="12">
        <f t="shared" si="52"/>
        <v>7387.630000000001</v>
      </c>
      <c r="J234" s="28">
        <f t="shared" si="54"/>
        <v>16400.810000000001</v>
      </c>
    </row>
    <row r="235" spans="1:10" ht="19.95" customHeight="1" x14ac:dyDescent="0.6">
      <c r="A235" s="13" t="s">
        <v>35</v>
      </c>
      <c r="B235" s="27">
        <f>B262+B294+B323+B352+B381+B410+B439+B468+B497+B526</f>
        <v>0</v>
      </c>
      <c r="C235" s="27">
        <f>C262+C294+C323+C352+C381+C410+C439+C468+C497+C526</f>
        <v>0</v>
      </c>
      <c r="D235" s="27">
        <v>0</v>
      </c>
      <c r="E235" s="12">
        <f t="shared" si="53"/>
        <v>0</v>
      </c>
      <c r="F235" s="27">
        <v>0</v>
      </c>
      <c r="G235" s="27">
        <v>0</v>
      </c>
      <c r="H235" s="27">
        <v>0</v>
      </c>
      <c r="I235" s="12">
        <f t="shared" si="52"/>
        <v>0</v>
      </c>
      <c r="J235" s="28">
        <f t="shared" si="54"/>
        <v>0</v>
      </c>
    </row>
    <row r="236" spans="1:10" ht="19.95" customHeight="1" x14ac:dyDescent="0.6">
      <c r="A236" s="13" t="s">
        <v>36</v>
      </c>
      <c r="B236" s="27">
        <v>0</v>
      </c>
      <c r="C236" s="27">
        <v>0</v>
      </c>
      <c r="D236" s="27">
        <v>0</v>
      </c>
      <c r="E236" s="12">
        <f t="shared" si="53"/>
        <v>0</v>
      </c>
      <c r="F236" s="27">
        <v>0</v>
      </c>
      <c r="G236" s="27">
        <v>0</v>
      </c>
      <c r="H236" s="27">
        <v>0</v>
      </c>
      <c r="I236" s="12">
        <f t="shared" si="52"/>
        <v>0</v>
      </c>
      <c r="J236" s="28">
        <f t="shared" si="54"/>
        <v>0</v>
      </c>
    </row>
    <row r="237" spans="1:10" ht="19.95" customHeight="1" x14ac:dyDescent="0.6">
      <c r="A237" s="14" t="s">
        <v>85</v>
      </c>
      <c r="B237" s="30">
        <f>B264+B296+B325+B354+B383+B412+B441+B470+B499+B528</f>
        <v>0</v>
      </c>
      <c r="C237" s="30">
        <f>C264+C296+C325+C354+C383+C412+C441+C470+C499+C528</f>
        <v>0</v>
      </c>
      <c r="E237" s="26">
        <f>B237+C237+D238</f>
        <v>422177.57</v>
      </c>
      <c r="F237" s="30">
        <f>F264+F296+F325+F354+F383+F412+F441+F470+F499+F528</f>
        <v>0</v>
      </c>
      <c r="G237" s="30">
        <v>0</v>
      </c>
      <c r="H237" s="30">
        <v>0</v>
      </c>
      <c r="I237" s="26">
        <f t="shared" si="52"/>
        <v>0</v>
      </c>
      <c r="J237" s="28">
        <v>0</v>
      </c>
    </row>
    <row r="238" spans="1:10" ht="19.95" customHeight="1" x14ac:dyDescent="0.6">
      <c r="A238" s="15" t="s">
        <v>86</v>
      </c>
      <c r="B238" s="67">
        <v>0</v>
      </c>
      <c r="C238" s="67">
        <v>377527.08</v>
      </c>
      <c r="D238" s="27">
        <v>422177.57</v>
      </c>
      <c r="E238" s="68" t="e">
        <f>B238+C238+#REF!</f>
        <v>#REF!</v>
      </c>
      <c r="F238" s="27">
        <v>385256.92</v>
      </c>
      <c r="G238" s="67">
        <v>365321.63</v>
      </c>
      <c r="H238" s="67">
        <v>703318</v>
      </c>
      <c r="I238" s="68">
        <f t="shared" si="52"/>
        <v>1453896.55</v>
      </c>
      <c r="J238" s="70">
        <v>2253601.2000000002</v>
      </c>
    </row>
    <row r="239" spans="1:10" ht="19.95" customHeight="1" thickBot="1" x14ac:dyDescent="0.65">
      <c r="A239" s="16" t="s">
        <v>37</v>
      </c>
      <c r="B239" s="25">
        <f>SUM(B231:B238)</f>
        <v>1560270.13</v>
      </c>
      <c r="C239" s="25">
        <f t="shared" ref="C239" si="55">SUM(C231:C238)</f>
        <v>2262923.02</v>
      </c>
      <c r="D239" s="25">
        <f>SUM(D231:D238)</f>
        <v>2470169.73</v>
      </c>
      <c r="E239" s="25" t="e">
        <f t="shared" ref="E239:I239" si="56">SUM(E231:E238)</f>
        <v>#REF!</v>
      </c>
      <c r="F239" s="25">
        <f t="shared" si="56"/>
        <v>2814729.78</v>
      </c>
      <c r="G239" s="25">
        <f t="shared" si="56"/>
        <v>2099246.27</v>
      </c>
      <c r="H239" s="25">
        <f t="shared" si="56"/>
        <v>2546028.52</v>
      </c>
      <c r="I239" s="25">
        <f t="shared" si="56"/>
        <v>7460004.5700000003</v>
      </c>
      <c r="J239" s="25">
        <f>SUM(J231:J238)</f>
        <v>18216035.680000003</v>
      </c>
    </row>
    <row r="240" spans="1:10" ht="19.95" customHeight="1" thickTop="1" x14ac:dyDescent="0.6">
      <c r="A240" s="11" t="s">
        <v>27</v>
      </c>
      <c r="B240" s="24">
        <v>0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</row>
    <row r="241" spans="1:10" ht="19.95" customHeight="1" x14ac:dyDescent="0.6">
      <c r="A241" s="16" t="s">
        <v>38</v>
      </c>
      <c r="B241" s="17">
        <f>SUM(B239:B240)</f>
        <v>1560270.13</v>
      </c>
      <c r="C241" s="17">
        <f t="shared" ref="C241:J241" si="57">SUM(C239:C240)</f>
        <v>2262923.02</v>
      </c>
      <c r="D241" s="17">
        <f t="shared" si="57"/>
        <v>2470169.73</v>
      </c>
      <c r="E241" s="18" t="e">
        <f t="shared" si="57"/>
        <v>#REF!</v>
      </c>
      <c r="F241" s="17">
        <f t="shared" si="57"/>
        <v>2814729.78</v>
      </c>
      <c r="G241" s="17">
        <f t="shared" si="57"/>
        <v>2099246.27</v>
      </c>
      <c r="H241" s="17">
        <f t="shared" si="57"/>
        <v>2546028.52</v>
      </c>
      <c r="I241" s="18">
        <f t="shared" si="57"/>
        <v>7460004.5700000003</v>
      </c>
      <c r="J241" s="17">
        <f t="shared" si="57"/>
        <v>18216035.680000003</v>
      </c>
    </row>
    <row r="243" spans="1:10" ht="21" customHeight="1" x14ac:dyDescent="0.6">
      <c r="B243" s="32">
        <f t="shared" ref="B243:J243" si="58">SUM(B236:B237)</f>
        <v>0</v>
      </c>
      <c r="C243" s="32">
        <f t="shared" si="58"/>
        <v>0</v>
      </c>
      <c r="D243" s="32">
        <f t="shared" si="58"/>
        <v>0</v>
      </c>
      <c r="E243" s="32">
        <f t="shared" si="58"/>
        <v>422177.57</v>
      </c>
      <c r="F243" s="32">
        <f t="shared" si="58"/>
        <v>0</v>
      </c>
      <c r="G243" s="32">
        <f t="shared" si="58"/>
        <v>0</v>
      </c>
      <c r="H243" s="32">
        <f t="shared" si="58"/>
        <v>0</v>
      </c>
      <c r="I243" s="32">
        <f t="shared" si="58"/>
        <v>0</v>
      </c>
      <c r="J243" s="32">
        <f t="shared" si="58"/>
        <v>0</v>
      </c>
    </row>
    <row r="254" spans="1:10" ht="21" customHeight="1" x14ac:dyDescent="0.6">
      <c r="A254" s="80" t="s">
        <v>78</v>
      </c>
      <c r="B254" s="80"/>
      <c r="C254" s="80"/>
      <c r="D254" s="80"/>
      <c r="E254" s="80"/>
      <c r="F254" s="80"/>
      <c r="G254" s="80"/>
      <c r="H254" s="80"/>
      <c r="I254" s="80"/>
      <c r="J254" s="80"/>
    </row>
    <row r="255" spans="1:10" ht="21" customHeight="1" x14ac:dyDescent="0.6">
      <c r="A255" s="80" t="s">
        <v>70</v>
      </c>
      <c r="B255" s="80"/>
      <c r="C255" s="80"/>
      <c r="D255" s="80"/>
      <c r="E255" s="80"/>
      <c r="F255" s="80"/>
      <c r="G255" s="80"/>
      <c r="H255" s="80"/>
      <c r="I255" s="80"/>
      <c r="J255" s="80"/>
    </row>
    <row r="256" spans="1:10" ht="21" customHeight="1" x14ac:dyDescent="0.6">
      <c r="A256" s="80" t="s">
        <v>49</v>
      </c>
      <c r="B256" s="80"/>
      <c r="C256" s="80"/>
      <c r="D256" s="80"/>
      <c r="E256" s="80"/>
      <c r="F256" s="80"/>
      <c r="G256" s="80"/>
      <c r="H256" s="80"/>
      <c r="I256" s="80"/>
      <c r="J256" s="80"/>
    </row>
    <row r="257" spans="1:10" s="6" customFormat="1" ht="33" customHeight="1" x14ac:dyDescent="0.6">
      <c r="A257" s="3" t="s">
        <v>50</v>
      </c>
      <c r="B257" s="4" t="s">
        <v>51</v>
      </c>
      <c r="C257" s="4" t="s">
        <v>52</v>
      </c>
      <c r="D257" s="4" t="s">
        <v>53</v>
      </c>
      <c r="E257" s="4" t="s">
        <v>30</v>
      </c>
      <c r="F257" s="4" t="s">
        <v>54</v>
      </c>
      <c r="G257" s="4" t="s">
        <v>55</v>
      </c>
      <c r="H257" s="4" t="s">
        <v>56</v>
      </c>
      <c r="I257" s="4" t="s">
        <v>31</v>
      </c>
      <c r="J257" s="5" t="s">
        <v>6</v>
      </c>
    </row>
    <row r="258" spans="1:10" ht="19.95" customHeight="1" x14ac:dyDescent="0.6">
      <c r="A258" s="8" t="s">
        <v>10</v>
      </c>
      <c r="B258" s="9"/>
      <c r="C258" s="9"/>
      <c r="D258" s="9"/>
      <c r="E258" s="10"/>
      <c r="F258" s="9"/>
      <c r="G258" s="9"/>
      <c r="H258" s="9"/>
      <c r="I258" s="10"/>
      <c r="J258" s="9"/>
    </row>
    <row r="259" spans="1:10" ht="19.95" customHeight="1" x14ac:dyDescent="0.6">
      <c r="A259" s="13" t="s">
        <v>59</v>
      </c>
      <c r="B259" s="27">
        <v>321760</v>
      </c>
      <c r="C259" s="27">
        <v>324028</v>
      </c>
      <c r="D259" s="27">
        <v>367878.67</v>
      </c>
      <c r="E259" s="12"/>
      <c r="F259" s="27">
        <v>361374.06</v>
      </c>
      <c r="G259" s="27">
        <v>353760</v>
      </c>
      <c r="H259" s="27">
        <v>354600</v>
      </c>
      <c r="I259" s="12">
        <f t="shared" ref="I259:I266" si="59">F259+G259+H259</f>
        <v>1069734.06</v>
      </c>
      <c r="J259" s="28">
        <f>SUM(B259:H259)</f>
        <v>2083400.73</v>
      </c>
    </row>
    <row r="260" spans="1:10" ht="19.95" customHeight="1" x14ac:dyDescent="0.6">
      <c r="A260" s="13" t="s">
        <v>32</v>
      </c>
      <c r="B260" s="27">
        <v>24000</v>
      </c>
      <c r="C260" s="27">
        <v>24000</v>
      </c>
      <c r="D260" s="27">
        <v>24000</v>
      </c>
      <c r="E260" s="12">
        <f t="shared" ref="E260:E264" si="60">B260+C260+D260</f>
        <v>72000</v>
      </c>
      <c r="F260" s="27">
        <v>24000</v>
      </c>
      <c r="G260" s="27">
        <v>24000</v>
      </c>
      <c r="H260" s="27">
        <v>24000</v>
      </c>
      <c r="I260" s="12">
        <f t="shared" si="59"/>
        <v>72000</v>
      </c>
      <c r="J260" s="28">
        <f t="shared" ref="J260:J264" si="61">SUM(B260:H260)</f>
        <v>216000</v>
      </c>
    </row>
    <row r="261" spans="1:10" ht="19.95" customHeight="1" x14ac:dyDescent="0.6">
      <c r="A261" s="13" t="s">
        <v>33</v>
      </c>
      <c r="B261" s="27">
        <v>0</v>
      </c>
      <c r="C261" s="27">
        <v>68551</v>
      </c>
      <c r="D261" s="27">
        <v>71071</v>
      </c>
      <c r="E261" s="12">
        <f t="shared" si="60"/>
        <v>139622</v>
      </c>
      <c r="F261" s="27">
        <v>94321</v>
      </c>
      <c r="G261" s="27">
        <v>131839</v>
      </c>
      <c r="H261" s="27">
        <v>103841</v>
      </c>
      <c r="I261" s="12">
        <f t="shared" si="59"/>
        <v>330001</v>
      </c>
      <c r="J261" s="28">
        <f t="shared" si="61"/>
        <v>609245</v>
      </c>
    </row>
    <row r="262" spans="1:10" ht="19.95" customHeight="1" x14ac:dyDescent="0.6">
      <c r="A262" s="13" t="s">
        <v>34</v>
      </c>
      <c r="B262" s="27">
        <v>0</v>
      </c>
      <c r="C262" s="27">
        <v>0</v>
      </c>
      <c r="D262" s="27">
        <v>0</v>
      </c>
      <c r="E262" s="12">
        <f t="shared" si="60"/>
        <v>0</v>
      </c>
      <c r="F262" s="27">
        <v>0</v>
      </c>
      <c r="G262" s="27">
        <v>0</v>
      </c>
      <c r="H262" s="27">
        <v>0</v>
      </c>
      <c r="I262" s="12">
        <f t="shared" si="59"/>
        <v>0</v>
      </c>
      <c r="J262" s="28">
        <f t="shared" si="61"/>
        <v>0</v>
      </c>
    </row>
    <row r="263" spans="1:10" ht="19.95" customHeight="1" x14ac:dyDescent="0.6">
      <c r="A263" s="13" t="s">
        <v>35</v>
      </c>
      <c r="B263" s="27">
        <v>0</v>
      </c>
      <c r="C263" s="27">
        <v>0</v>
      </c>
      <c r="D263" s="27">
        <v>0</v>
      </c>
      <c r="E263" s="12">
        <f t="shared" si="60"/>
        <v>0</v>
      </c>
      <c r="F263" s="27">
        <v>0</v>
      </c>
      <c r="G263" s="27">
        <v>0</v>
      </c>
      <c r="H263" s="27">
        <v>0</v>
      </c>
      <c r="I263" s="12">
        <f t="shared" si="59"/>
        <v>0</v>
      </c>
      <c r="J263" s="28">
        <f t="shared" si="61"/>
        <v>0</v>
      </c>
    </row>
    <row r="264" spans="1:10" ht="19.95" customHeight="1" x14ac:dyDescent="0.6">
      <c r="A264" s="13" t="s">
        <v>36</v>
      </c>
      <c r="B264" s="27">
        <f t="shared" ref="B264:C265" si="62">B291+B324+B353+B382+B411+B440+B469+B498+B527+B556</f>
        <v>0</v>
      </c>
      <c r="C264" s="27">
        <f t="shared" si="62"/>
        <v>0</v>
      </c>
      <c r="D264" s="27">
        <f>D291+D324+D353+D382+D411+D440+D469+D498+D527+D556</f>
        <v>0</v>
      </c>
      <c r="E264" s="12">
        <f t="shared" si="60"/>
        <v>0</v>
      </c>
      <c r="F264" s="27">
        <f>F291+F324+F353+F382+F411+F440+F469+F498+F527+F556</f>
        <v>0</v>
      </c>
      <c r="G264" s="27">
        <v>0</v>
      </c>
      <c r="H264" s="27">
        <v>0</v>
      </c>
      <c r="I264" s="12">
        <f t="shared" si="59"/>
        <v>0</v>
      </c>
      <c r="J264" s="28">
        <f t="shared" si="61"/>
        <v>0</v>
      </c>
    </row>
    <row r="265" spans="1:10" ht="19.95" customHeight="1" x14ac:dyDescent="0.6">
      <c r="A265" s="14" t="s">
        <v>85</v>
      </c>
      <c r="B265" s="30">
        <f t="shared" si="62"/>
        <v>0</v>
      </c>
      <c r="C265" s="30">
        <f t="shared" si="62"/>
        <v>0</v>
      </c>
      <c r="E265" s="26">
        <f>B265+C265+D266</f>
        <v>23980</v>
      </c>
      <c r="F265" s="30">
        <f>F292+F325+F354+F383+F412+F441+F470+F499+F528+F557</f>
        <v>0</v>
      </c>
      <c r="G265" s="30">
        <f t="shared" ref="G265:H265" si="63">G292+G325+G354+G383+G412+G441+G470+G499+G528+G557</f>
        <v>0</v>
      </c>
      <c r="H265" s="30">
        <f t="shared" si="63"/>
        <v>0</v>
      </c>
      <c r="I265" s="26">
        <f t="shared" si="59"/>
        <v>0</v>
      </c>
      <c r="J265" s="28">
        <v>0</v>
      </c>
    </row>
    <row r="266" spans="1:10" ht="19.95" customHeight="1" x14ac:dyDescent="0.6">
      <c r="A266" s="15" t="s">
        <v>86</v>
      </c>
      <c r="B266" s="67">
        <v>0</v>
      </c>
      <c r="C266" s="67">
        <v>0</v>
      </c>
      <c r="D266" s="27">
        <v>23980</v>
      </c>
      <c r="E266" s="68" t="e">
        <f>B266+C266+#REF!</f>
        <v>#REF!</v>
      </c>
      <c r="F266" s="27">
        <v>20120</v>
      </c>
      <c r="G266" s="67">
        <v>34080</v>
      </c>
      <c r="H266" s="67">
        <v>31680</v>
      </c>
      <c r="I266" s="68">
        <f t="shared" si="59"/>
        <v>85880</v>
      </c>
      <c r="J266" s="28">
        <v>109860</v>
      </c>
    </row>
    <row r="267" spans="1:10" ht="19.95" customHeight="1" thickBot="1" x14ac:dyDescent="0.65">
      <c r="A267" s="16" t="s">
        <v>37</v>
      </c>
      <c r="B267" s="25">
        <f>SUM(B259:B266)</f>
        <v>345760</v>
      </c>
      <c r="C267" s="25">
        <f t="shared" ref="C267" si="64">SUM(C259:C266)</f>
        <v>416579</v>
      </c>
      <c r="D267" s="25">
        <f>SUM(D259:D266)</f>
        <v>486929.67</v>
      </c>
      <c r="E267" s="25" t="e">
        <f t="shared" ref="E267:I267" si="65">SUM(E259:E266)</f>
        <v>#REF!</v>
      </c>
      <c r="F267" s="25">
        <f t="shared" si="65"/>
        <v>499815.06</v>
      </c>
      <c r="G267" s="25">
        <f t="shared" si="65"/>
        <v>543679</v>
      </c>
      <c r="H267" s="25">
        <f t="shared" si="65"/>
        <v>514121</v>
      </c>
      <c r="I267" s="25">
        <f t="shared" si="65"/>
        <v>1557615.06</v>
      </c>
      <c r="J267" s="25">
        <f>SUM(J259:J266)</f>
        <v>3018505.73</v>
      </c>
    </row>
    <row r="268" spans="1:10" ht="19.95" customHeight="1" thickTop="1" x14ac:dyDescent="0.6">
      <c r="A268" s="11" t="s">
        <v>27</v>
      </c>
      <c r="B268" s="24">
        <v>0</v>
      </c>
      <c r="C268" s="24">
        <v>0</v>
      </c>
      <c r="D268" s="24">
        <v>0</v>
      </c>
      <c r="E268" s="24">
        <v>0</v>
      </c>
      <c r="F268" s="24">
        <v>0</v>
      </c>
      <c r="G268" s="24">
        <v>0</v>
      </c>
      <c r="H268" s="24">
        <v>0</v>
      </c>
      <c r="I268" s="24">
        <v>0</v>
      </c>
      <c r="J268" s="24">
        <v>0</v>
      </c>
    </row>
    <row r="269" spans="1:10" ht="19.95" customHeight="1" x14ac:dyDescent="0.6">
      <c r="A269" s="16" t="s">
        <v>38</v>
      </c>
      <c r="B269" s="17">
        <f>SUM(B267:B268)</f>
        <v>345760</v>
      </c>
      <c r="C269" s="17">
        <f t="shared" ref="C269:J269" si="66">SUM(C267:C268)</f>
        <v>416579</v>
      </c>
      <c r="D269" s="17">
        <f t="shared" si="66"/>
        <v>486929.67</v>
      </c>
      <c r="E269" s="18" t="e">
        <f t="shared" si="66"/>
        <v>#REF!</v>
      </c>
      <c r="F269" s="17">
        <f t="shared" si="66"/>
        <v>499815.06</v>
      </c>
      <c r="G269" s="17">
        <f t="shared" si="66"/>
        <v>543679</v>
      </c>
      <c r="H269" s="17">
        <f t="shared" si="66"/>
        <v>514121</v>
      </c>
      <c r="I269" s="18">
        <f t="shared" si="66"/>
        <v>1557615.06</v>
      </c>
      <c r="J269" s="17">
        <f t="shared" si="66"/>
        <v>3018505.73</v>
      </c>
    </row>
    <row r="271" spans="1:10" ht="21" customHeight="1" x14ac:dyDescent="0.6">
      <c r="B271" s="32">
        <f t="shared" ref="B271:J271" si="67">SUM(B264:B265)</f>
        <v>0</v>
      </c>
      <c r="C271" s="32">
        <f t="shared" si="67"/>
        <v>0</v>
      </c>
      <c r="D271" s="32">
        <f t="shared" si="67"/>
        <v>0</v>
      </c>
      <c r="E271" s="32">
        <f t="shared" si="67"/>
        <v>23980</v>
      </c>
      <c r="F271" s="32">
        <f t="shared" si="67"/>
        <v>0</v>
      </c>
      <c r="G271" s="32">
        <f t="shared" si="67"/>
        <v>0</v>
      </c>
      <c r="H271" s="32">
        <f t="shared" si="67"/>
        <v>0</v>
      </c>
      <c r="I271" s="32">
        <f t="shared" si="67"/>
        <v>0</v>
      </c>
      <c r="J271" s="32">
        <f t="shared" si="67"/>
        <v>0</v>
      </c>
    </row>
    <row r="282" spans="1:10" ht="21" customHeight="1" x14ac:dyDescent="0.6">
      <c r="A282" s="80" t="s">
        <v>78</v>
      </c>
      <c r="B282" s="80"/>
      <c r="C282" s="80"/>
      <c r="D282" s="80"/>
      <c r="E282" s="80"/>
      <c r="F282" s="80"/>
      <c r="G282" s="80"/>
      <c r="H282" s="80"/>
      <c r="I282" s="80"/>
      <c r="J282" s="80"/>
    </row>
    <row r="283" spans="1:10" ht="21" customHeight="1" x14ac:dyDescent="0.6">
      <c r="A283" s="80" t="s">
        <v>22</v>
      </c>
      <c r="B283" s="80"/>
      <c r="C283" s="80"/>
      <c r="D283" s="80"/>
      <c r="E283" s="80"/>
      <c r="F283" s="80"/>
      <c r="G283" s="80"/>
      <c r="H283" s="80"/>
      <c r="I283" s="80"/>
      <c r="J283" s="80"/>
    </row>
    <row r="284" spans="1:10" ht="21" customHeight="1" x14ac:dyDescent="0.6">
      <c r="A284" s="80" t="s">
        <v>49</v>
      </c>
      <c r="B284" s="80"/>
      <c r="C284" s="80"/>
      <c r="D284" s="80"/>
      <c r="E284" s="80"/>
      <c r="F284" s="80"/>
      <c r="G284" s="80"/>
      <c r="H284" s="80"/>
      <c r="I284" s="80"/>
      <c r="J284" s="80"/>
    </row>
    <row r="285" spans="1:10" s="6" customFormat="1" ht="33" customHeight="1" x14ac:dyDescent="0.6">
      <c r="A285" s="3" t="s">
        <v>50</v>
      </c>
      <c r="B285" s="4" t="s">
        <v>51</v>
      </c>
      <c r="C285" s="4" t="s">
        <v>52</v>
      </c>
      <c r="D285" s="4" t="s">
        <v>53</v>
      </c>
      <c r="E285" s="4" t="s">
        <v>30</v>
      </c>
      <c r="F285" s="4" t="s">
        <v>54</v>
      </c>
      <c r="G285" s="4" t="s">
        <v>55</v>
      </c>
      <c r="H285" s="4" t="s">
        <v>56</v>
      </c>
      <c r="I285" s="4" t="s">
        <v>31</v>
      </c>
      <c r="J285" s="5" t="s">
        <v>6</v>
      </c>
    </row>
    <row r="286" spans="1:10" ht="19.95" customHeight="1" x14ac:dyDescent="0.6">
      <c r="A286" s="8" t="s">
        <v>10</v>
      </c>
      <c r="B286" s="9"/>
      <c r="C286" s="9"/>
      <c r="D286" s="9"/>
      <c r="E286" s="10"/>
      <c r="F286" s="9"/>
      <c r="G286" s="9"/>
      <c r="H286" s="9"/>
      <c r="I286" s="10"/>
      <c r="J286" s="9"/>
    </row>
    <row r="287" spans="1:10" ht="19.95" customHeight="1" x14ac:dyDescent="0.6">
      <c r="A287" s="13" t="s">
        <v>59</v>
      </c>
      <c r="B287" s="27">
        <v>654090</v>
      </c>
      <c r="C287" s="27">
        <v>762440</v>
      </c>
      <c r="D287" s="27">
        <v>708265</v>
      </c>
      <c r="E287" s="12"/>
      <c r="F287" s="27">
        <v>715665</v>
      </c>
      <c r="G287" s="27">
        <v>722205</v>
      </c>
      <c r="H287" s="27">
        <v>764808.41</v>
      </c>
      <c r="I287" s="12">
        <f t="shared" ref="I287:I294" si="68">F287+G287+H287</f>
        <v>2202678.41</v>
      </c>
      <c r="J287" s="28">
        <f>SUM(B287:H287)</f>
        <v>4327473.41</v>
      </c>
    </row>
    <row r="288" spans="1:10" ht="19.95" customHeight="1" x14ac:dyDescent="0.6">
      <c r="A288" s="13" t="s">
        <v>32</v>
      </c>
      <c r="B288" s="27">
        <v>444000</v>
      </c>
      <c r="C288" s="27">
        <v>468000</v>
      </c>
      <c r="D288" s="27">
        <v>480000</v>
      </c>
      <c r="E288" s="12">
        <f t="shared" ref="E288:E292" si="69">B288+C288+D288</f>
        <v>1392000</v>
      </c>
      <c r="F288" s="27">
        <v>480000</v>
      </c>
      <c r="G288" s="27">
        <v>480000</v>
      </c>
      <c r="H288" s="27">
        <v>504000</v>
      </c>
      <c r="I288" s="12">
        <f t="shared" si="68"/>
        <v>1464000</v>
      </c>
      <c r="J288" s="28">
        <f t="shared" ref="J288:J292" si="70">SUM(B288:H288)</f>
        <v>4248000</v>
      </c>
    </row>
    <row r="289" spans="1:10" ht="19.95" customHeight="1" x14ac:dyDescent="0.6">
      <c r="A289" s="13" t="s">
        <v>33</v>
      </c>
      <c r="B289" s="27">
        <v>0</v>
      </c>
      <c r="C289" s="27">
        <v>97086</v>
      </c>
      <c r="D289" s="27">
        <v>1740588</v>
      </c>
      <c r="E289" s="12">
        <f t="shared" si="69"/>
        <v>1837674</v>
      </c>
      <c r="F289" s="27">
        <v>1683189</v>
      </c>
      <c r="G289" s="27">
        <v>1299089</v>
      </c>
      <c r="H289" s="27">
        <v>2643891.34</v>
      </c>
      <c r="I289" s="12">
        <f t="shared" si="68"/>
        <v>5626169.3399999999</v>
      </c>
      <c r="J289" s="28">
        <f t="shared" si="70"/>
        <v>9301517.3399999999</v>
      </c>
    </row>
    <row r="290" spans="1:10" ht="19.95" customHeight="1" x14ac:dyDescent="0.6">
      <c r="A290" s="13" t="s">
        <v>34</v>
      </c>
      <c r="B290" s="27">
        <v>1241220.68</v>
      </c>
      <c r="C290" s="27">
        <v>319015.82</v>
      </c>
      <c r="D290" s="27">
        <v>44429.52</v>
      </c>
      <c r="E290" s="12">
        <f t="shared" si="69"/>
        <v>1604666.02</v>
      </c>
      <c r="F290" s="27">
        <v>998815.26</v>
      </c>
      <c r="G290" s="27">
        <v>563004.27</v>
      </c>
      <c r="H290" s="27">
        <v>626977.97</v>
      </c>
      <c r="I290" s="12">
        <f t="shared" si="68"/>
        <v>2188797.5</v>
      </c>
      <c r="J290" s="28">
        <f t="shared" si="70"/>
        <v>5398129.54</v>
      </c>
    </row>
    <row r="291" spans="1:10" ht="19.95" customHeight="1" x14ac:dyDescent="0.6">
      <c r="A291" s="13" t="s">
        <v>35</v>
      </c>
      <c r="B291" s="27">
        <f t="shared" ref="B291:C293" si="71">B319+B352+B381+B410+B439+B468+B497+B526+B555+B584</f>
        <v>0</v>
      </c>
      <c r="C291" s="27">
        <f t="shared" si="71"/>
        <v>0</v>
      </c>
      <c r="D291" s="27">
        <v>0</v>
      </c>
      <c r="E291" s="12">
        <f t="shared" si="69"/>
        <v>0</v>
      </c>
      <c r="F291" s="27">
        <v>0</v>
      </c>
      <c r="G291" s="27">
        <v>825000</v>
      </c>
      <c r="H291" s="27">
        <v>1792000</v>
      </c>
      <c r="I291" s="12">
        <f t="shared" si="68"/>
        <v>2617000</v>
      </c>
      <c r="J291" s="28">
        <f t="shared" si="70"/>
        <v>2617000</v>
      </c>
    </row>
    <row r="292" spans="1:10" ht="19.95" customHeight="1" x14ac:dyDescent="0.6">
      <c r="A292" s="13" t="s">
        <v>36</v>
      </c>
      <c r="B292" s="27">
        <f t="shared" si="71"/>
        <v>0</v>
      </c>
      <c r="C292" s="27">
        <f t="shared" si="71"/>
        <v>0</v>
      </c>
      <c r="D292" s="27">
        <f>D320+D353+D382+D411+D440+D469+D498+D527+D556+D585</f>
        <v>0</v>
      </c>
      <c r="E292" s="12">
        <f t="shared" si="69"/>
        <v>0</v>
      </c>
      <c r="F292" s="27">
        <f>F320+F353+F382+F411+F440+F469+F498+F527+F556+F585</f>
        <v>0</v>
      </c>
      <c r="G292" s="27">
        <f t="shared" ref="G292:H292" si="72">G320+G353+G382+G411+G440+G469+G498+G527+G556+G585</f>
        <v>0</v>
      </c>
      <c r="H292" s="27">
        <f t="shared" si="72"/>
        <v>0</v>
      </c>
      <c r="I292" s="12">
        <f t="shared" si="68"/>
        <v>0</v>
      </c>
      <c r="J292" s="28">
        <f t="shared" si="70"/>
        <v>0</v>
      </c>
    </row>
    <row r="293" spans="1:10" ht="19.95" customHeight="1" x14ac:dyDescent="0.6">
      <c r="A293" s="14" t="s">
        <v>85</v>
      </c>
      <c r="B293" s="30">
        <f t="shared" si="71"/>
        <v>0</v>
      </c>
      <c r="C293" s="27">
        <v>697590</v>
      </c>
      <c r="D293" s="19">
        <v>1945165</v>
      </c>
      <c r="E293" s="26">
        <f>B293+C293+D294</f>
        <v>697590</v>
      </c>
      <c r="F293" s="27">
        <v>1574242</v>
      </c>
      <c r="G293" s="27">
        <v>833918</v>
      </c>
      <c r="H293" s="27">
        <v>4066806</v>
      </c>
      <c r="I293" s="26">
        <f t="shared" si="68"/>
        <v>6474966</v>
      </c>
      <c r="J293" s="28">
        <f>SUM(C293:H293)</f>
        <v>9815311</v>
      </c>
    </row>
    <row r="294" spans="1:10" ht="19.95" customHeight="1" x14ac:dyDescent="0.6">
      <c r="A294" s="15" t="s">
        <v>86</v>
      </c>
      <c r="B294" s="67">
        <v>0</v>
      </c>
      <c r="C294" s="67">
        <v>0</v>
      </c>
      <c r="D294" s="27">
        <v>0</v>
      </c>
      <c r="E294" s="68" t="e">
        <f>B294+C294+#REF!</f>
        <v>#REF!</v>
      </c>
      <c r="F294" s="27">
        <v>43600</v>
      </c>
      <c r="G294" s="67">
        <v>4500</v>
      </c>
      <c r="H294" s="67">
        <v>179100</v>
      </c>
      <c r="I294" s="68">
        <f t="shared" si="68"/>
        <v>227200</v>
      </c>
      <c r="J294" s="28">
        <f>SUM(F294:H294)</f>
        <v>227200</v>
      </c>
    </row>
    <row r="295" spans="1:10" ht="19.95" customHeight="1" thickBot="1" x14ac:dyDescent="0.65">
      <c r="A295" s="16" t="s">
        <v>37</v>
      </c>
      <c r="B295" s="25">
        <f>SUM(B287:B294)</f>
        <v>2339310.6799999997</v>
      </c>
      <c r="C295" s="25">
        <f t="shared" ref="C295" si="73">SUM(C287:C294)</f>
        <v>2344131.8200000003</v>
      </c>
      <c r="D295" s="25">
        <f>SUM(D287:D294)</f>
        <v>4918447.5199999996</v>
      </c>
      <c r="E295" s="25" t="e">
        <f t="shared" ref="E295:I295" si="74">SUM(E287:E294)</f>
        <v>#REF!</v>
      </c>
      <c r="F295" s="25">
        <f t="shared" si="74"/>
        <v>5495511.2599999998</v>
      </c>
      <c r="G295" s="25">
        <f t="shared" si="74"/>
        <v>4727716.2699999996</v>
      </c>
      <c r="H295" s="25">
        <f t="shared" si="74"/>
        <v>10577583.719999999</v>
      </c>
      <c r="I295" s="25">
        <f t="shared" si="74"/>
        <v>20800811.25</v>
      </c>
      <c r="J295" s="25">
        <f>SUM(J287:J294)</f>
        <v>35934631.289999999</v>
      </c>
    </row>
    <row r="296" spans="1:10" ht="19.95" customHeight="1" thickTop="1" x14ac:dyDescent="0.6">
      <c r="A296" s="11" t="s">
        <v>27</v>
      </c>
      <c r="B296" s="24">
        <v>0</v>
      </c>
      <c r="C296" s="24">
        <v>0</v>
      </c>
      <c r="D296" s="24">
        <v>0</v>
      </c>
      <c r="E296" s="24">
        <v>0</v>
      </c>
      <c r="F296" s="24">
        <v>0</v>
      </c>
      <c r="G296" s="24">
        <v>0</v>
      </c>
      <c r="H296" s="24">
        <v>0</v>
      </c>
      <c r="I296" s="24">
        <v>0</v>
      </c>
      <c r="J296" s="24">
        <v>0</v>
      </c>
    </row>
    <row r="297" spans="1:10" ht="19.95" customHeight="1" x14ac:dyDescent="0.6">
      <c r="A297" s="16" t="s">
        <v>38</v>
      </c>
      <c r="B297" s="17">
        <f>SUM(B295:B296)</f>
        <v>2339310.6799999997</v>
      </c>
      <c r="C297" s="17">
        <f t="shared" ref="C297:J297" si="75">SUM(C295:C296)</f>
        <v>2344131.8200000003</v>
      </c>
      <c r="D297" s="17">
        <f t="shared" si="75"/>
        <v>4918447.5199999996</v>
      </c>
      <c r="E297" s="18" t="e">
        <f t="shared" si="75"/>
        <v>#REF!</v>
      </c>
      <c r="F297" s="17">
        <f t="shared" si="75"/>
        <v>5495511.2599999998</v>
      </c>
      <c r="G297" s="17">
        <f t="shared" si="75"/>
        <v>4727716.2699999996</v>
      </c>
      <c r="H297" s="17">
        <f t="shared" si="75"/>
        <v>10577583.719999999</v>
      </c>
      <c r="I297" s="18">
        <f t="shared" si="75"/>
        <v>20800811.25</v>
      </c>
      <c r="J297" s="17">
        <f t="shared" si="75"/>
        <v>35934631.289999999</v>
      </c>
    </row>
    <row r="299" spans="1:10" ht="21" customHeight="1" x14ac:dyDescent="0.6">
      <c r="A299" s="31"/>
      <c r="B299" s="32">
        <f>SUM(B292:B293)</f>
        <v>0</v>
      </c>
      <c r="C299" s="32">
        <f t="shared" ref="C299:J299" si="76">SUM(C292:C293)</f>
        <v>697590</v>
      </c>
      <c r="D299" s="32">
        <f t="shared" si="76"/>
        <v>1945165</v>
      </c>
      <c r="E299" s="32">
        <f t="shared" si="76"/>
        <v>697590</v>
      </c>
      <c r="F299" s="32">
        <f t="shared" si="76"/>
        <v>1574242</v>
      </c>
      <c r="G299" s="32">
        <f t="shared" si="76"/>
        <v>833918</v>
      </c>
      <c r="H299" s="32">
        <f t="shared" si="76"/>
        <v>4066806</v>
      </c>
      <c r="I299" s="32">
        <f t="shared" si="76"/>
        <v>6474966</v>
      </c>
      <c r="J299" s="32">
        <f t="shared" si="76"/>
        <v>9815311</v>
      </c>
    </row>
  </sheetData>
  <mergeCells count="34">
    <mergeCell ref="A256:J256"/>
    <mergeCell ref="A282:J282"/>
    <mergeCell ref="A283:J283"/>
    <mergeCell ref="A284:J284"/>
    <mergeCell ref="A200:J200"/>
    <mergeCell ref="A226:J226"/>
    <mergeCell ref="A227:J227"/>
    <mergeCell ref="A228:J228"/>
    <mergeCell ref="A254:J254"/>
    <mergeCell ref="A255:J255"/>
    <mergeCell ref="A199:J199"/>
    <mergeCell ref="A88:J88"/>
    <mergeCell ref="A114:J114"/>
    <mergeCell ref="A115:J115"/>
    <mergeCell ref="A116:J116"/>
    <mergeCell ref="A142:J142"/>
    <mergeCell ref="A143:J143"/>
    <mergeCell ref="A144:J144"/>
    <mergeCell ref="A170:J170"/>
    <mergeCell ref="A171:J171"/>
    <mergeCell ref="A172:J172"/>
    <mergeCell ref="A198:J198"/>
    <mergeCell ref="A87:J87"/>
    <mergeCell ref="A1:J1"/>
    <mergeCell ref="A2:J2"/>
    <mergeCell ref="A3:J3"/>
    <mergeCell ref="A4:J4"/>
    <mergeCell ref="A30:J30"/>
    <mergeCell ref="A31:J31"/>
    <mergeCell ref="A32:J32"/>
    <mergeCell ref="A58:J58"/>
    <mergeCell ref="A59:J59"/>
    <mergeCell ref="A60:J60"/>
    <mergeCell ref="A86:J86"/>
  </mergeCells>
  <printOptions horizontalCentered="1"/>
  <pageMargins left="0.11811023622047245" right="0.11811023622047245" top="0.51181102362204722" bottom="0.11811023622047245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1.สรุป</vt:lpstr>
      <vt:lpstr>2.กราฟ</vt:lpstr>
      <vt:lpstr>3.สรุป 6 เดือน</vt:lpstr>
      <vt:lpstr>4. เม.ย. - ก.ย. 67(10 ฝ่าย)ITA</vt:lpstr>
      <vt:lpstr>4. เม.ย. - ก.ย. 67(10 ฝ่าย) (2)</vt:lpstr>
      <vt:lpstr>'1.สรุป'!Print_Area</vt:lpstr>
      <vt:lpstr>'2.กราฟ'!Print_Area</vt:lpstr>
      <vt:lpstr>'3.สรุป 6 เดือน'!Print_Area</vt:lpstr>
      <vt:lpstr>'4. เม.ย. - ก.ย. 67(10 ฝ่าย)ITA'!Print_Area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bma04013</dc:creator>
  <cp:lastModifiedBy>พงศกร เพ็ชรมงคล</cp:lastModifiedBy>
  <cp:lastPrinted>2025-04-25T04:20:14Z</cp:lastPrinted>
  <dcterms:created xsi:type="dcterms:W3CDTF">2024-03-12T15:07:46Z</dcterms:created>
  <dcterms:modified xsi:type="dcterms:W3CDTF">2025-04-25T04:20:17Z</dcterms:modified>
</cp:coreProperties>
</file>