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4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กทม\backup เครื่อง สนง\แป้ง\ITA\2568\OIT\O13\"/>
    </mc:Choice>
  </mc:AlternateContent>
  <xr:revisionPtr revIDLastSave="0" documentId="13_ncr:1_{064468D1-C010-43E7-A340-DF6A6C51CC1C}" xr6:coauthVersionLast="47" xr6:coauthVersionMax="47" xr10:uidLastSave="{00000000-0000-0000-0000-000000000000}"/>
  <bookViews>
    <workbookView xWindow="-108" yWindow="-108" windowWidth="23256" windowHeight="12456" xr2:uid="{AE355942-4793-4ACF-85BD-9D1CB95EF403}"/>
  </bookViews>
  <sheets>
    <sheet name="ผลการใช้จ่าย ไตรมาส 1" sheetId="1" r:id="rId1"/>
    <sheet name="ผลการใช้จ่าย ไตรมาส 2" sheetId="8" r:id="rId2"/>
    <sheet name="ปัญหา-อุปสรรค" sheetId="12" r:id="rId3"/>
    <sheet name="ผลการใช้จ่าย ไตรมาส 3" sheetId="9" state="hidden" r:id="rId4"/>
    <sheet name="ผลการใช้จ่าย ไตรมาส 4" sheetId="11" state="hidden" r:id="rId5"/>
    <sheet name="รายละเอียด" sheetId="10" state="hidden" r:id="rId6"/>
    <sheet name="รายละเอียดผลการใช้จ่าย" sheetId="6" state="hidden" r:id="rId7"/>
    <sheet name="Sheet3" sheetId="3" state="hidden" r:id="rId8"/>
    <sheet name="รายงาน" sheetId="4" state="hidden" r:id="rId9"/>
    <sheet name="รายงานตัวชี้วัด" sheetId="5" state="hidden" r:id="rId10"/>
    <sheet name="ผลการก่อหนี้" sheetId="2" state="hidden" r:id="rId11"/>
    <sheet name="เบิกเหลื่อมปี" sheetId="7" state="hidden" r:id="rId12"/>
  </sheets>
  <definedNames>
    <definedName name="_xlnm.Print_Area" localSheetId="0">'ผลการใช้จ่าย ไตรมาส 1'!$A$1:$H$32</definedName>
    <definedName name="_xlnm.Print_Area" localSheetId="1">'ผลการใช้จ่าย ไตรมาส 2'!$A$1:$H$32</definedName>
    <definedName name="_xlnm.Print_Area" localSheetId="3">'ผลการใช้จ่าย ไตรมาส 3'!$A$1:$H$33</definedName>
    <definedName name="_xlnm.Print_Area" localSheetId="4">'ผลการใช้จ่าย ไตรมาส 4'!$A$1:$H$33</definedName>
    <definedName name="_xlnm.Print_Titles" localSheetId="5">รายละเอียด!$1:$5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3" i="12" l="1"/>
  <c r="B23" i="12"/>
  <c r="C11" i="12"/>
  <c r="B11" i="12"/>
  <c r="K15" i="8"/>
  <c r="E10" i="8"/>
  <c r="G6" i="1"/>
  <c r="B10" i="1"/>
  <c r="D14" i="11"/>
  <c r="D9" i="11"/>
  <c r="F9" i="11" s="1"/>
  <c r="D62" i="10"/>
  <c r="E62" i="10"/>
  <c r="F62" i="10"/>
  <c r="C62" i="10"/>
  <c r="K19" i="11"/>
  <c r="K16" i="11"/>
  <c r="D15" i="11"/>
  <c r="G15" i="11" s="1"/>
  <c r="H15" i="11" s="1"/>
  <c r="G14" i="11"/>
  <c r="H14" i="11" s="1"/>
  <c r="D13" i="11"/>
  <c r="G13" i="11" s="1"/>
  <c r="H13" i="11" s="1"/>
  <c r="D12" i="11"/>
  <c r="F12" i="11" s="1"/>
  <c r="E10" i="11"/>
  <c r="E16" i="11" s="1"/>
  <c r="C10" i="11"/>
  <c r="C16" i="11" s="1"/>
  <c r="B10" i="11"/>
  <c r="B16" i="11" s="1"/>
  <c r="G9" i="11"/>
  <c r="H9" i="11" s="1"/>
  <c r="D8" i="11"/>
  <c r="G8" i="11" s="1"/>
  <c r="H8" i="11" s="1"/>
  <c r="D7" i="11"/>
  <c r="G7" i="11" s="1"/>
  <c r="H7" i="11" s="1"/>
  <c r="D6" i="11"/>
  <c r="G6" i="11" s="1"/>
  <c r="H6" i="11" s="1"/>
  <c r="F59" i="10"/>
  <c r="F60" i="10"/>
  <c r="F61" i="10"/>
  <c r="F56" i="10"/>
  <c r="F57" i="10"/>
  <c r="F58" i="10"/>
  <c r="F45" i="10"/>
  <c r="F37" i="10"/>
  <c r="F38" i="10"/>
  <c r="F13" i="10"/>
  <c r="F26" i="10"/>
  <c r="F27" i="10"/>
  <c r="F31" i="10"/>
  <c r="F32" i="10"/>
  <c r="F33" i="10"/>
  <c r="F42" i="10"/>
  <c r="F43" i="10"/>
  <c r="F49" i="10"/>
  <c r="F50" i="10"/>
  <c r="F51" i="10"/>
  <c r="F52" i="10"/>
  <c r="F53" i="10"/>
  <c r="F55" i="10"/>
  <c r="F12" i="10"/>
  <c r="F9" i="10"/>
  <c r="F10" i="10"/>
  <c r="F17" i="10"/>
  <c r="F21" i="10"/>
  <c r="F22" i="10"/>
  <c r="F8" i="10"/>
  <c r="F8" i="11" l="1"/>
  <c r="F7" i="11"/>
  <c r="F6" i="11"/>
  <c r="G12" i="11"/>
  <c r="H12" i="11" s="1"/>
  <c r="D10" i="11"/>
  <c r="F13" i="11"/>
  <c r="F14" i="11"/>
  <c r="F15" i="11"/>
  <c r="F10" i="11"/>
  <c r="D16" i="9"/>
  <c r="D13" i="9"/>
  <c r="D8" i="9"/>
  <c r="G13" i="9"/>
  <c r="H13" i="9" s="1"/>
  <c r="K19" i="9"/>
  <c r="K16" i="9"/>
  <c r="G15" i="9"/>
  <c r="H15" i="9" s="1"/>
  <c r="D15" i="9"/>
  <c r="F15" i="9" s="1"/>
  <c r="G14" i="9"/>
  <c r="H14" i="9" s="1"/>
  <c r="D14" i="9"/>
  <c r="F14" i="9" s="1"/>
  <c r="F13" i="9"/>
  <c r="D12" i="9"/>
  <c r="E10" i="9"/>
  <c r="E16" i="9" s="1"/>
  <c r="C10" i="9"/>
  <c r="C16" i="9" s="1"/>
  <c r="B10" i="9"/>
  <c r="B16" i="9" s="1"/>
  <c r="D9" i="9"/>
  <c r="G9" i="9" s="1"/>
  <c r="H9" i="9" s="1"/>
  <c r="G8" i="9"/>
  <c r="H8" i="9" s="1"/>
  <c r="D7" i="9"/>
  <c r="G7" i="9" s="1"/>
  <c r="H7" i="9" s="1"/>
  <c r="D6" i="9"/>
  <c r="G6" i="9" s="1"/>
  <c r="H6" i="9" s="1"/>
  <c r="D14" i="8"/>
  <c r="G14" i="8" s="1"/>
  <c r="H14" i="8" s="1"/>
  <c r="D13" i="8"/>
  <c r="G13" i="8" s="1"/>
  <c r="H13" i="8" s="1"/>
  <c r="D12" i="8"/>
  <c r="G12" i="8" s="1"/>
  <c r="H12" i="8" s="1"/>
  <c r="D11" i="8"/>
  <c r="F11" i="8" s="1"/>
  <c r="E15" i="8"/>
  <c r="C10" i="8"/>
  <c r="C15" i="8" s="1"/>
  <c r="B10" i="8"/>
  <c r="B15" i="8" s="1"/>
  <c r="D9" i="8"/>
  <c r="G9" i="8" s="1"/>
  <c r="H9" i="8" s="1"/>
  <c r="D8" i="8"/>
  <c r="G8" i="8" s="1"/>
  <c r="H8" i="8" s="1"/>
  <c r="D7" i="8"/>
  <c r="G7" i="8" s="1"/>
  <c r="H7" i="8" s="1"/>
  <c r="D6" i="8"/>
  <c r="G6" i="8" s="1"/>
  <c r="H6" i="8" s="1"/>
  <c r="K15" i="1"/>
  <c r="E10" i="1"/>
  <c r="E15" i="1" s="1"/>
  <c r="C10" i="1"/>
  <c r="C15" i="1" s="1"/>
  <c r="G11" i="8" l="1"/>
  <c r="H11" i="8" s="1"/>
  <c r="J12" i="11"/>
  <c r="J19" i="11"/>
  <c r="D16" i="11"/>
  <c r="F16" i="11" s="1"/>
  <c r="G10" i="11"/>
  <c r="D10" i="9"/>
  <c r="G10" i="9" s="1"/>
  <c r="F6" i="9"/>
  <c r="F7" i="9"/>
  <c r="F8" i="9"/>
  <c r="F9" i="9"/>
  <c r="F12" i="9"/>
  <c r="G12" i="9"/>
  <c r="H12" i="9" s="1"/>
  <c r="D10" i="8"/>
  <c r="F12" i="8"/>
  <c r="F13" i="8"/>
  <c r="F14" i="8"/>
  <c r="F6" i="8"/>
  <c r="F7" i="8"/>
  <c r="F8" i="8"/>
  <c r="F9" i="8"/>
  <c r="F10" i="8"/>
  <c r="G16" i="11" l="1"/>
  <c r="H16" i="11" s="1"/>
  <c r="K9" i="11" s="1"/>
  <c r="H10" i="11"/>
  <c r="K12" i="11" s="1"/>
  <c r="F20" i="11"/>
  <c r="J16" i="11"/>
  <c r="J9" i="11"/>
  <c r="F16" i="9"/>
  <c r="F20" i="9" s="1"/>
  <c r="F10" i="9"/>
  <c r="J12" i="9" s="1"/>
  <c r="G16" i="9"/>
  <c r="H10" i="9"/>
  <c r="K12" i="9" s="1"/>
  <c r="D15" i="8"/>
  <c r="F15" i="8" s="1"/>
  <c r="G10" i="8"/>
  <c r="J9" i="9" l="1"/>
  <c r="J19" i="9"/>
  <c r="H16" i="9"/>
  <c r="K9" i="9" s="1"/>
  <c r="J16" i="9"/>
  <c r="F19" i="8"/>
  <c r="J15" i="8"/>
  <c r="J9" i="8"/>
  <c r="G15" i="8"/>
  <c r="H15" i="8" s="1"/>
  <c r="K9" i="8" s="1"/>
  <c r="H10" i="8"/>
  <c r="B15" i="1" l="1"/>
  <c r="D12" i="1"/>
  <c r="F12" i="1" s="1"/>
  <c r="D11" i="1"/>
  <c r="D7" i="1"/>
  <c r="D8" i="1"/>
  <c r="G8" i="1" s="1"/>
  <c r="H8" i="1" s="1"/>
  <c r="D9" i="1"/>
  <c r="G9" i="1" s="1"/>
  <c r="H9" i="1" s="1"/>
  <c r="D6" i="1"/>
  <c r="D14" i="1"/>
  <c r="D13" i="1"/>
  <c r="H6" i="1" l="1"/>
  <c r="F6" i="1"/>
  <c r="G14" i="1"/>
  <c r="D10" i="1"/>
  <c r="G10" i="1" s="1"/>
  <c r="H10" i="1" s="1"/>
  <c r="F7" i="1"/>
  <c r="G7" i="1"/>
  <c r="H7" i="1" s="1"/>
  <c r="G12" i="1"/>
  <c r="H12" i="1" s="1"/>
  <c r="F14" i="1"/>
  <c r="F8" i="1"/>
  <c r="F11" i="1"/>
  <c r="G11" i="1"/>
  <c r="H11" i="1" s="1"/>
  <c r="F13" i="1"/>
  <c r="G13" i="1"/>
  <c r="F9" i="1"/>
  <c r="D15" i="1" l="1"/>
  <c r="F15" i="1"/>
  <c r="F10" i="1"/>
  <c r="G15" i="1"/>
  <c r="F19" i="1" l="1"/>
  <c r="J15" i="1"/>
  <c r="J9" i="1"/>
  <c r="H15" i="1"/>
  <c r="K9" i="1" s="1"/>
  <c r="D16" i="6"/>
  <c r="C16" i="6"/>
  <c r="E15" i="6"/>
  <c r="D15" i="6"/>
  <c r="F15" i="6" s="1"/>
  <c r="E14" i="6"/>
  <c r="D14" i="6"/>
  <c r="C14" i="6"/>
  <c r="C12" i="6"/>
  <c r="E11" i="6"/>
  <c r="F11" i="6" s="1"/>
  <c r="D11" i="6"/>
  <c r="C11" i="6"/>
  <c r="E10" i="6"/>
  <c r="D10" i="6"/>
  <c r="C10" i="6"/>
  <c r="D9" i="6"/>
  <c r="E8" i="6"/>
  <c r="D8" i="6"/>
  <c r="C8" i="6"/>
  <c r="E7" i="6"/>
  <c r="D7" i="6"/>
  <c r="C7" i="6"/>
  <c r="E6" i="6"/>
  <c r="F6" i="6" s="1"/>
  <c r="D6" i="6"/>
  <c r="E5" i="6"/>
  <c r="D5" i="6"/>
  <c r="C5" i="6"/>
  <c r="F18" i="6"/>
  <c r="B17" i="6"/>
  <c r="F16" i="6"/>
  <c r="F13" i="6"/>
  <c r="F12" i="6"/>
  <c r="F9" i="6"/>
  <c r="F8" i="6"/>
  <c r="C17" i="5"/>
  <c r="B17" i="5"/>
  <c r="W22" i="5"/>
  <c r="X22" i="5"/>
  <c r="X17" i="5"/>
  <c r="V17" i="5"/>
  <c r="F17" i="5"/>
  <c r="D17" i="5"/>
  <c r="E17" i="5"/>
  <c r="G17" i="5"/>
  <c r="H17" i="5"/>
  <c r="I17" i="5"/>
  <c r="J17" i="5"/>
  <c r="K17" i="5"/>
  <c r="L17" i="5"/>
  <c r="M17" i="5"/>
  <c r="N17" i="5"/>
  <c r="O17" i="5"/>
  <c r="P17" i="5"/>
  <c r="Q17" i="5"/>
  <c r="R17" i="5"/>
  <c r="S17" i="5"/>
  <c r="T17" i="5"/>
  <c r="U17" i="5"/>
  <c r="R21" i="5"/>
  <c r="D21" i="5"/>
  <c r="F21" i="5" s="1"/>
  <c r="T20" i="5"/>
  <c r="R20" i="5"/>
  <c r="P20" i="5"/>
  <c r="D20" i="5"/>
  <c r="V20" i="5" s="1"/>
  <c r="W19" i="5"/>
  <c r="X19" i="5" s="1"/>
  <c r="D19" i="5"/>
  <c r="V19" i="5" s="1"/>
  <c r="U18" i="5"/>
  <c r="S18" i="5"/>
  <c r="T18" i="5" s="1"/>
  <c r="Q18" i="5"/>
  <c r="R18" i="5" s="1"/>
  <c r="O18" i="5"/>
  <c r="P18" i="5" s="1"/>
  <c r="M18" i="5"/>
  <c r="K18" i="5"/>
  <c r="I18" i="5"/>
  <c r="G18" i="5"/>
  <c r="E18" i="5"/>
  <c r="D18" i="5"/>
  <c r="W18" i="5" s="1"/>
  <c r="X18" i="5" s="1"/>
  <c r="C18" i="5"/>
  <c r="B18" i="5"/>
  <c r="D16" i="5"/>
  <c r="T16" i="5" s="1"/>
  <c r="R15" i="5"/>
  <c r="J15" i="5"/>
  <c r="D15" i="5"/>
  <c r="P15" i="5" s="1"/>
  <c r="V14" i="5"/>
  <c r="D14" i="5"/>
  <c r="F14" i="5" s="1"/>
  <c r="W13" i="5"/>
  <c r="X13" i="5" s="1"/>
  <c r="F13" i="5"/>
  <c r="D13" i="5"/>
  <c r="P13" i="5" s="1"/>
  <c r="U12" i="5"/>
  <c r="S12" i="5"/>
  <c r="S11" i="5" s="1"/>
  <c r="Q12" i="5"/>
  <c r="Q11" i="5" s="1"/>
  <c r="O12" i="5"/>
  <c r="M12" i="5"/>
  <c r="K12" i="5"/>
  <c r="I12" i="5"/>
  <c r="I11" i="5" s="1"/>
  <c r="G12" i="5"/>
  <c r="E12" i="5"/>
  <c r="C12" i="5"/>
  <c r="C11" i="5" s="1"/>
  <c r="B12" i="5"/>
  <c r="B11" i="5" s="1"/>
  <c r="U11" i="5"/>
  <c r="O11" i="5"/>
  <c r="M11" i="5"/>
  <c r="K11" i="5"/>
  <c r="G11" i="5"/>
  <c r="E11" i="5"/>
  <c r="N10" i="5"/>
  <c r="J10" i="5"/>
  <c r="D10" i="5"/>
  <c r="T10" i="5" s="1"/>
  <c r="S9" i="5"/>
  <c r="T9" i="5" s="1"/>
  <c r="Q9" i="5"/>
  <c r="R9" i="5" s="1"/>
  <c r="O9" i="5"/>
  <c r="P9" i="5" s="1"/>
  <c r="M9" i="5"/>
  <c r="N9" i="5" s="1"/>
  <c r="K9" i="5"/>
  <c r="L9" i="5" s="1"/>
  <c r="I9" i="5"/>
  <c r="J9" i="5" s="1"/>
  <c r="H9" i="5"/>
  <c r="E9" i="5"/>
  <c r="E8" i="5" s="1"/>
  <c r="D9" i="5"/>
  <c r="O8" i="5"/>
  <c r="K8" i="5"/>
  <c r="G8" i="5"/>
  <c r="C8" i="5"/>
  <c r="B8" i="5"/>
  <c r="D8" i="5" s="1"/>
  <c r="B22" i="5"/>
  <c r="F16" i="2"/>
  <c r="E16" i="2"/>
  <c r="D16" i="2"/>
  <c r="C16" i="2"/>
  <c r="B16" i="2"/>
  <c r="E15" i="2"/>
  <c r="D15" i="2"/>
  <c r="C15" i="2"/>
  <c r="E14" i="2"/>
  <c r="E13" i="2"/>
  <c r="D13" i="2"/>
  <c r="C13" i="2"/>
  <c r="C11" i="2"/>
  <c r="D10" i="2"/>
  <c r="C10" i="2"/>
  <c r="D9" i="2"/>
  <c r="C9" i="2"/>
  <c r="E7" i="2"/>
  <c r="C7" i="2"/>
  <c r="D6" i="2"/>
  <c r="C6" i="2"/>
  <c r="E5" i="2"/>
  <c r="D5" i="2"/>
  <c r="E4" i="2"/>
  <c r="C4" i="2"/>
  <c r="F4" i="2" s="1"/>
  <c r="D4" i="2"/>
  <c r="S8" i="4"/>
  <c r="U22" i="4"/>
  <c r="S22" i="4"/>
  <c r="T22" i="4" s="1"/>
  <c r="S16" i="4"/>
  <c r="S15" i="4" s="1"/>
  <c r="U11" i="4"/>
  <c r="U13" i="4" s="1"/>
  <c r="S13" i="4"/>
  <c r="T24" i="4"/>
  <c r="R24" i="4"/>
  <c r="G8" i="4"/>
  <c r="F14" i="6" l="1"/>
  <c r="C17" i="6"/>
  <c r="F10" i="6"/>
  <c r="F7" i="6"/>
  <c r="E17" i="6"/>
  <c r="F5" i="6"/>
  <c r="D17" i="6"/>
  <c r="C22" i="5"/>
  <c r="S8" i="5"/>
  <c r="I8" i="5"/>
  <c r="J8" i="5" s="1"/>
  <c r="Q8" i="5"/>
  <c r="R8" i="5" s="1"/>
  <c r="R10" i="5"/>
  <c r="D12" i="5"/>
  <c r="W12" i="5" s="1"/>
  <c r="X12" i="5" s="1"/>
  <c r="L13" i="5"/>
  <c r="W14" i="5"/>
  <c r="X14" i="5" s="1"/>
  <c r="W20" i="5"/>
  <c r="X20" i="5" s="1"/>
  <c r="M8" i="5"/>
  <c r="F10" i="5"/>
  <c r="V10" i="5"/>
  <c r="N13" i="5"/>
  <c r="F19" i="5"/>
  <c r="D11" i="5"/>
  <c r="W11" i="5" s="1"/>
  <c r="X11" i="5" s="1"/>
  <c r="V13" i="5"/>
  <c r="G22" i="5"/>
  <c r="F8" i="5"/>
  <c r="V9" i="5"/>
  <c r="T8" i="5"/>
  <c r="P8" i="5"/>
  <c r="L8" i="5"/>
  <c r="H8" i="5"/>
  <c r="N8" i="5"/>
  <c r="W9" i="5"/>
  <c r="N16" i="5"/>
  <c r="F9" i="5"/>
  <c r="H10" i="5"/>
  <c r="P10" i="5"/>
  <c r="W10" i="5"/>
  <c r="X10" i="5" s="1"/>
  <c r="L15" i="5"/>
  <c r="V15" i="5"/>
  <c r="F16" i="5"/>
  <c r="P16" i="5"/>
  <c r="W16" i="5"/>
  <c r="X16" i="5" s="1"/>
  <c r="V21" i="5"/>
  <c r="F12" i="5"/>
  <c r="L12" i="5"/>
  <c r="P12" i="5"/>
  <c r="N15" i="5"/>
  <c r="W15" i="5"/>
  <c r="X15" i="5" s="1"/>
  <c r="J16" i="5"/>
  <c r="R16" i="5"/>
  <c r="F18" i="5"/>
  <c r="V18" i="5"/>
  <c r="W21" i="5"/>
  <c r="X21" i="5" s="1"/>
  <c r="N12" i="5"/>
  <c r="V16" i="5"/>
  <c r="L10" i="5"/>
  <c r="F15" i="5"/>
  <c r="L16" i="5"/>
  <c r="F20" i="5"/>
  <c r="E11" i="4"/>
  <c r="F17" i="2"/>
  <c r="F18" i="2" s="1"/>
  <c r="E13" i="4" s="1"/>
  <c r="S12" i="4"/>
  <c r="S21" i="4" s="1"/>
  <c r="F17" i="6" l="1"/>
  <c r="F19" i="6" s="1"/>
  <c r="V12" i="5"/>
  <c r="L11" i="5"/>
  <c r="P11" i="5"/>
  <c r="F11" i="5"/>
  <c r="N11" i="5"/>
  <c r="V11" i="5"/>
  <c r="K22" i="5"/>
  <c r="X9" i="5"/>
  <c r="W8" i="5"/>
  <c r="W17" i="5" s="1"/>
  <c r="Q22" i="5"/>
  <c r="V8" i="5"/>
  <c r="M22" i="5"/>
  <c r="S22" i="5"/>
  <c r="I22" i="5"/>
  <c r="O22" i="5"/>
  <c r="S26" i="4"/>
  <c r="D22" i="5" l="1"/>
  <c r="U22" i="5"/>
  <c r="X8" i="5"/>
  <c r="V22" i="5" l="1"/>
  <c r="E22" i="5"/>
  <c r="F22" i="5" s="1"/>
  <c r="U12" i="4"/>
  <c r="U8" i="4"/>
  <c r="U16" i="4"/>
  <c r="U15" i="4" s="1"/>
  <c r="Q8" i="4"/>
  <c r="Q16" i="4"/>
  <c r="Q15" i="4" s="1"/>
  <c r="Q22" i="4"/>
  <c r="R22" i="4" s="1"/>
  <c r="R25" i="4"/>
  <c r="P24" i="4"/>
  <c r="Q13" i="4"/>
  <c r="O8" i="4"/>
  <c r="O16" i="4"/>
  <c r="O22" i="4"/>
  <c r="P22" i="4" s="1"/>
  <c r="O13" i="4"/>
  <c r="M8" i="4"/>
  <c r="M16" i="4"/>
  <c r="M22" i="4"/>
  <c r="M13" i="4"/>
  <c r="M12" i="4" s="1"/>
  <c r="K8" i="4"/>
  <c r="K16" i="4"/>
  <c r="K22" i="4"/>
  <c r="K13" i="4"/>
  <c r="I22" i="4"/>
  <c r="I16" i="4"/>
  <c r="I15" i="4" s="1"/>
  <c r="I12" i="4"/>
  <c r="I8" i="4"/>
  <c r="I13" i="4"/>
  <c r="G22" i="4"/>
  <c r="G16" i="4"/>
  <c r="G15" i="4" s="1"/>
  <c r="G21" i="4" s="1"/>
  <c r="G12" i="4"/>
  <c r="E12" i="4"/>
  <c r="E8" i="4"/>
  <c r="D23" i="4"/>
  <c r="V23" i="4" s="1"/>
  <c r="D24" i="4"/>
  <c r="D25" i="4"/>
  <c r="V25" i="4" s="1"/>
  <c r="D19" i="4"/>
  <c r="C8" i="4"/>
  <c r="D9" i="4"/>
  <c r="D10" i="4"/>
  <c r="D11" i="4"/>
  <c r="D12" i="4"/>
  <c r="T12" i="4" s="1"/>
  <c r="D13" i="4"/>
  <c r="V13" i="4" s="1"/>
  <c r="D14" i="4"/>
  <c r="D17" i="4"/>
  <c r="D18" i="4"/>
  <c r="D20" i="4"/>
  <c r="V20" i="4" s="1"/>
  <c r="C22" i="4"/>
  <c r="E22" i="4"/>
  <c r="B22" i="4"/>
  <c r="D22" i="4" s="1"/>
  <c r="W22" i="4" s="1"/>
  <c r="X22" i="4" s="1"/>
  <c r="C16" i="4"/>
  <c r="E16" i="4"/>
  <c r="B16" i="4"/>
  <c r="B15" i="4"/>
  <c r="C12" i="4"/>
  <c r="B12" i="4"/>
  <c r="B8" i="4"/>
  <c r="F5" i="2"/>
  <c r="F6" i="2"/>
  <c r="F7" i="2"/>
  <c r="F8" i="2"/>
  <c r="F9" i="2"/>
  <c r="F10" i="2"/>
  <c r="F11" i="2"/>
  <c r="F12" i="2"/>
  <c r="F13" i="2"/>
  <c r="F14" i="2"/>
  <c r="F15" i="2"/>
  <c r="P13" i="4" l="1"/>
  <c r="R13" i="4"/>
  <c r="J13" i="4"/>
  <c r="Q12" i="4"/>
  <c r="R12" i="4" s="1"/>
  <c r="L13" i="4"/>
  <c r="F22" i="4"/>
  <c r="N11" i="4"/>
  <c r="R11" i="4"/>
  <c r="J11" i="4"/>
  <c r="P11" i="4"/>
  <c r="H11" i="4"/>
  <c r="W11" i="4"/>
  <c r="X11" i="4" s="1"/>
  <c r="T11" i="4"/>
  <c r="L11" i="4"/>
  <c r="F11" i="4"/>
  <c r="V12" i="4"/>
  <c r="F18" i="4"/>
  <c r="W18" i="4"/>
  <c r="X18" i="4" s="1"/>
  <c r="V24" i="4"/>
  <c r="W24" i="4"/>
  <c r="X24" i="4" s="1"/>
  <c r="F24" i="4"/>
  <c r="W17" i="4"/>
  <c r="X17" i="4" s="1"/>
  <c r="F17" i="4"/>
  <c r="L17" i="4"/>
  <c r="P17" i="4"/>
  <c r="N17" i="4"/>
  <c r="D8" i="4"/>
  <c r="F12" i="4"/>
  <c r="J12" i="4"/>
  <c r="K15" i="4"/>
  <c r="V18" i="4"/>
  <c r="R19" i="4"/>
  <c r="P19" i="4"/>
  <c r="N19" i="4"/>
  <c r="W19" i="4"/>
  <c r="X19" i="4" s="1"/>
  <c r="J19" i="4"/>
  <c r="L19" i="4"/>
  <c r="F19" i="4"/>
  <c r="W23" i="4"/>
  <c r="X23" i="4" s="1"/>
  <c r="F23" i="4"/>
  <c r="M15" i="4"/>
  <c r="M21" i="4" s="1"/>
  <c r="V17" i="4"/>
  <c r="V11" i="4"/>
  <c r="E15" i="4"/>
  <c r="E21" i="4" s="1"/>
  <c r="P14" i="4"/>
  <c r="N14" i="4"/>
  <c r="W14" i="4"/>
  <c r="F14" i="4"/>
  <c r="L14" i="4"/>
  <c r="J14" i="4"/>
  <c r="T14" i="4"/>
  <c r="H14" i="4"/>
  <c r="R14" i="4"/>
  <c r="P10" i="4"/>
  <c r="H10" i="4"/>
  <c r="L10" i="4"/>
  <c r="F10" i="4"/>
  <c r="R10" i="4"/>
  <c r="J10" i="4"/>
  <c r="T10" i="4"/>
  <c r="N10" i="4"/>
  <c r="W10" i="4"/>
  <c r="X10" i="4" s="1"/>
  <c r="H12" i="4"/>
  <c r="I21" i="4"/>
  <c r="L8" i="4"/>
  <c r="N12" i="4"/>
  <c r="O15" i="4"/>
  <c r="V10" i="4"/>
  <c r="D16" i="4"/>
  <c r="L16" i="4" s="1"/>
  <c r="F20" i="4"/>
  <c r="T20" i="4"/>
  <c r="J20" i="4"/>
  <c r="L20" i="4"/>
  <c r="R20" i="4"/>
  <c r="P20" i="4"/>
  <c r="N20" i="4"/>
  <c r="W20" i="4"/>
  <c r="X20" i="4" s="1"/>
  <c r="H13" i="4"/>
  <c r="W13" i="4"/>
  <c r="X13" i="4" s="1"/>
  <c r="T13" i="4"/>
  <c r="F13" i="4"/>
  <c r="T9" i="4"/>
  <c r="L9" i="4"/>
  <c r="W9" i="4"/>
  <c r="X9" i="4" s="1"/>
  <c r="F9" i="4"/>
  <c r="H9" i="4"/>
  <c r="R9" i="4"/>
  <c r="J9" i="4"/>
  <c r="N9" i="4"/>
  <c r="P9" i="4"/>
  <c r="F25" i="4"/>
  <c r="W25" i="4"/>
  <c r="X25" i="4" s="1"/>
  <c r="K12" i="4"/>
  <c r="N13" i="4"/>
  <c r="O12" i="4"/>
  <c r="P12" i="4" s="1"/>
  <c r="V19" i="4"/>
  <c r="V14" i="4"/>
  <c r="V9" i="4"/>
  <c r="V22" i="4"/>
  <c r="U21" i="4"/>
  <c r="Q21" i="4"/>
  <c r="G26" i="4"/>
  <c r="C15" i="4"/>
  <c r="D15" i="4" s="1"/>
  <c r="B21" i="4"/>
  <c r="B26" i="4" s="1"/>
  <c r="O21" i="4" l="1"/>
  <c r="W8" i="4"/>
  <c r="P16" i="4"/>
  <c r="F16" i="4"/>
  <c r="T8" i="4"/>
  <c r="H8" i="4"/>
  <c r="X8" i="4"/>
  <c r="J8" i="4"/>
  <c r="R8" i="4"/>
  <c r="L15" i="4"/>
  <c r="W16" i="4"/>
  <c r="X16" i="4" s="1"/>
  <c r="V16" i="4"/>
  <c r="P15" i="4"/>
  <c r="W12" i="4"/>
  <c r="X14" i="4"/>
  <c r="F15" i="4"/>
  <c r="N16" i="4"/>
  <c r="V8" i="4"/>
  <c r="M26" i="4"/>
  <c r="L12" i="4"/>
  <c r="K21" i="4"/>
  <c r="D21" i="4"/>
  <c r="J21" i="4" s="1"/>
  <c r="W15" i="4"/>
  <c r="X15" i="4" s="1"/>
  <c r="O26" i="4"/>
  <c r="I26" i="4"/>
  <c r="Q26" i="4"/>
  <c r="N8" i="4"/>
  <c r="F8" i="4"/>
  <c r="U26" i="4"/>
  <c r="V15" i="4"/>
  <c r="N15" i="4"/>
  <c r="P8" i="4"/>
  <c r="E26" i="4"/>
  <c r="F21" i="4"/>
  <c r="C21" i="4"/>
  <c r="C26" i="4" s="1"/>
  <c r="N21" i="4" l="1"/>
  <c r="T21" i="4"/>
  <c r="D26" i="4"/>
  <c r="F26" i="4" s="1"/>
  <c r="H21" i="4"/>
  <c r="V21" i="4"/>
  <c r="R21" i="4"/>
  <c r="P21" i="4"/>
  <c r="K26" i="4"/>
  <c r="L21" i="4"/>
  <c r="X12" i="4"/>
  <c r="W21" i="4"/>
  <c r="X21" i="4" s="1"/>
  <c r="V26" i="4" l="1"/>
  <c r="W26" i="4"/>
  <c r="X26" i="4" s="1"/>
  <c r="H14" i="1" l="1"/>
  <c r="H13" i="1" l="1"/>
</calcChain>
</file>

<file path=xl/sharedStrings.xml><?xml version="1.0" encoding="utf-8"?>
<sst xmlns="http://schemas.openxmlformats.org/spreadsheetml/2006/main" count="447" uniqueCount="215">
  <si>
    <t>งบประมาณรายจ่าย</t>
  </si>
  <si>
    <t>งบประมาณหลังปรับโอน</t>
  </si>
  <si>
    <t>ผลการก่อหนี้ผูกพัน</t>
  </si>
  <si>
    <t>ผลการเบิกจ่าย</t>
  </si>
  <si>
    <t>คงเหลือ</t>
  </si>
  <si>
    <t>งบฯ หลังปรับโอนในระบบ</t>
  </si>
  <si>
    <t>งบประมาณหลังปรับโอนสุทธิ</t>
  </si>
  <si>
    <t>วงเงิน</t>
  </si>
  <si>
    <t>ร้อยละ</t>
  </si>
  <si>
    <t>1. เงินเดือนและค่าจ้างประจำ</t>
  </si>
  <si>
    <t>2. ค่าจ้างชั่วคราว</t>
  </si>
  <si>
    <t>3. ค่าตอบแทน ใช้สอยและวัสดุ</t>
  </si>
  <si>
    <t>4. ค่าสาธารณูปโภค</t>
  </si>
  <si>
    <r>
      <t xml:space="preserve">5. ค่าครุภัณฑ์ ที่ดินและสิ่งก่อสร้าง </t>
    </r>
    <r>
      <rPr>
        <u/>
        <sz val="14"/>
        <color theme="1"/>
        <rFont val="TH SarabunPSK"/>
        <family val="2"/>
      </rPr>
      <t/>
    </r>
  </si>
  <si>
    <t>6. เงินอุดหนุน</t>
  </si>
  <si>
    <t>7. รายจ่ายอื่น</t>
  </si>
  <si>
    <t>ยอดรวม</t>
  </si>
  <si>
    <t>การใช้จ่ายงบประมาณในภาพรวม</t>
  </si>
  <si>
    <t xml:space="preserve">        สำนักงานเขตดุสิต</t>
  </si>
  <si>
    <t>คลัง</t>
  </si>
  <si>
    <t>รายได้</t>
  </si>
  <si>
    <t>ปลูก</t>
  </si>
  <si>
    <t>ตอบแทน</t>
  </si>
  <si>
    <t>ใช้สอย</t>
  </si>
  <si>
    <t>วัสดุจัดซื้อ</t>
  </si>
  <si>
    <t>วัสดุซื้อเอง</t>
  </si>
  <si>
    <t>รายงานผลการดำเนินงานงบประมาณกรุงเทพมหานคร</t>
  </si>
  <si>
    <t>งบลงทุน ค่าครุภัณฑ์ ที่ดินและสิ่งก่อสร้าง</t>
  </si>
  <si>
    <t>ประจำปีงบประมาณ 2565</t>
  </si>
  <si>
    <t>เริ่มสัญญา 1 ก.พ. 65</t>
  </si>
  <si>
    <t>สิ้นสุดสัญญา 1 พ.ค. 65</t>
  </si>
  <si>
    <t>วงเงินตามสัญญา 897,599.57 บาท</t>
  </si>
  <si>
    <t>ปรับปรุงโรงเรียนสุโขทัย งบประมาณ 930,000 บาท</t>
  </si>
  <si>
    <t>ระยะเวลาดำเนินการ 90 วัน</t>
  </si>
  <si>
    <t xml:space="preserve">ผู้รับจ้าง บริษัท ซันไรส แอทเซ็ท จำกัด </t>
  </si>
  <si>
    <t>รายงานความก้าวหน้า ปัญหาอุปสรรคในการดำเนินการตามตัวชี้วัด</t>
  </si>
  <si>
    <t>ฝ่ายการคลัง สำนักงานเขตดุสิต</t>
  </si>
  <si>
    <t>ผลการเบิกจ่ายงบประมาณ</t>
  </si>
  <si>
    <t>ปัญหา/อุปสรรค ในการดำเนินงาน</t>
  </si>
  <si>
    <t>จำนวนเงิน</t>
  </si>
  <si>
    <t>งบดำเนินงาน</t>
  </si>
  <si>
    <t xml:space="preserve">   ค่าตอบแทน ใช้สอยและวัสดุ</t>
  </si>
  <si>
    <t xml:space="preserve">   ค่าสาธารณูปโภค</t>
  </si>
  <si>
    <t>งบลงทุน</t>
  </si>
  <si>
    <t>งบเงินอุดหนุน</t>
  </si>
  <si>
    <t>งบรายจ่ายอื่น</t>
  </si>
  <si>
    <t>รวมงบประมาณประจำปี</t>
  </si>
  <si>
    <t>งบกลาง</t>
  </si>
  <si>
    <t>รวมทั้งสิ้น</t>
  </si>
  <si>
    <t>ลงชื่อ ......................................................... ผู้รายงาน</t>
  </si>
  <si>
    <t>งบรายจ่าย</t>
  </si>
  <si>
    <t xml:space="preserve">งบประมาณหลังปรับโอน </t>
  </si>
  <si>
    <t>งบประมาณคงเหลือหลังก่อหนี้/</t>
  </si>
  <si>
    <t>/ยกเลิกรายการ/โครงการ</t>
  </si>
  <si>
    <t>เบิกจ่าย/ชดใช้เงินยืม ฯ</t>
  </si>
  <si>
    <t xml:space="preserve">งบประมาณหลังปรับโอนสุทธิ </t>
  </si>
  <si>
    <t xml:space="preserve">   ค่าครุภัณฑ์ (30 รายการ)</t>
  </si>
  <si>
    <t xml:space="preserve">   ค่าที่ดินและสิ่งก่อสร้าง (1 รายการ)</t>
  </si>
  <si>
    <t>ตุลาคม</t>
  </si>
  <si>
    <t>พฤศจิกายน</t>
  </si>
  <si>
    <t>ธันวาคม</t>
  </si>
  <si>
    <t>มกราคม</t>
  </si>
  <si>
    <t>กุมภาพันธ์</t>
  </si>
  <si>
    <t>มีนาคม</t>
  </si>
  <si>
    <t>เมษายน</t>
  </si>
  <si>
    <t xml:space="preserve">   79 : เงินสำรองสำหรับภาระผูกพัน ฯ</t>
  </si>
  <si>
    <t xml:space="preserve">   11 : เงินสำรองจ่ายทั่วไป กรณีฉุกเฉินหรือจำเป็น</t>
  </si>
  <si>
    <t xml:space="preserve">   17 : เงินสำรองจ่ายทั่วไป กรณีค่าใช้จ่ายเพื่อการ ฯ</t>
  </si>
  <si>
    <t>ปกครอง</t>
  </si>
  <si>
    <t>ทะเบียน</t>
  </si>
  <si>
    <t>รักษา</t>
  </si>
  <si>
    <t>เทศกิจ</t>
  </si>
  <si>
    <t>โยธา</t>
  </si>
  <si>
    <t>ระบายน้ำ</t>
  </si>
  <si>
    <t>พัฒนา</t>
  </si>
  <si>
    <t>อนามัย</t>
  </si>
  <si>
    <t>ศึกษา</t>
  </si>
  <si>
    <t>รวม</t>
  </si>
  <si>
    <t>งบบุคลากร</t>
  </si>
  <si>
    <t xml:space="preserve">   เงินเดือนและค่าจ้างประจำ</t>
  </si>
  <si>
    <t xml:space="preserve">   ค่าจ้างชั่วคราว</t>
  </si>
  <si>
    <t xml:space="preserve">   ค่าครุภัณฑ์ ที่ดินและสิ่งก่อสร้าง (รวม 31 รายการ)</t>
  </si>
  <si>
    <t xml:space="preserve">ยกเลิกดำเนินการ </t>
  </si>
  <si>
    <t>จำนวนเงินทั้งสิ้น</t>
  </si>
  <si>
    <t>ผลการเบิกจ่ายงบประมาณ (รายเดือน)</t>
  </si>
  <si>
    <t>ณ วันที่ 19 เมษายน 2565</t>
  </si>
  <si>
    <t xml:space="preserve">             3. รายงานความสำเร็จของการเบิกจ่ายงบประมาณ ณ วันที่ 19 เมษายน 2565</t>
  </si>
  <si>
    <t>หักก่อหนี้ 03 งบบุคลากร</t>
  </si>
  <si>
    <t>รวมก่อหนี้ 03 งบดำเนินงาน</t>
  </si>
  <si>
    <r>
      <rPr>
        <u/>
        <sz val="14"/>
        <color theme="1"/>
        <rFont val="TH SarabunPSK"/>
        <family val="2"/>
      </rPr>
      <t>หมายเหตุ</t>
    </r>
    <r>
      <rPr>
        <sz val="14"/>
        <color theme="1"/>
        <rFont val="TH SarabunPSK"/>
        <family val="2"/>
      </rPr>
      <t xml:space="preserve"> 1. ผลการเบิกจ่ายงบประมาณ จำนวน 5 งบรายจ่าย ไม่รวมงบบุคลากร งบประมาณรายจ่ายเพิ่มเติม งบเงินอุดหนุนจากรัฐบาล และงบประมาณปี 2564 กันไว้เบิกเหลื่อมปีในปี 2565</t>
    </r>
  </si>
  <si>
    <t xml:space="preserve">             2. งบกลาง ไม่รวมรายการเงินช่วยเหลือข้าราชการและลูกจ้าง งบกลางรายการเงินบำเหน็จลูกจ้าง งบกลางเพิ่มเติม และงบประมาณปี 2564 กันไว้เบิกเหลื่อมปีในปี 2565</t>
  </si>
  <si>
    <t>ยอดปรับโอนทั้งสิ้น</t>
  </si>
  <si>
    <t>ณ วันที่ 4 สิงหาคม 2565</t>
  </si>
  <si>
    <t>ค่าตอบแทน ใช้สอยและวัสดุ</t>
  </si>
  <si>
    <t>ค่าตอบแทน</t>
  </si>
  <si>
    <t>ค่าใช้สอย</t>
  </si>
  <si>
    <t>ค่าวัสดุซื้อเอง</t>
  </si>
  <si>
    <t>งาน/รายการ</t>
  </si>
  <si>
    <t>ค่าวัสดุกองทะเบียน</t>
  </si>
  <si>
    <t>ผลการเบิกจ่าย (ลงทุน)</t>
  </si>
  <si>
    <t>เป้าหมาย</t>
  </si>
  <si>
    <t>การเบิกเงินเหลื่อมปี</t>
  </si>
  <si>
    <t>สำนักงานเขตดุสิต</t>
  </si>
  <si>
    <t>ส่วนใหญ่เป็นรายการดังต่อไปนี้</t>
  </si>
  <si>
    <t>2. ค่าจ้างเหมาดูแลทรัพย์สินและรักษาความปลอดภัย</t>
  </si>
  <si>
    <t>1. ค่าจ้างเหมาบริการเป็นรายบุคคล</t>
  </si>
  <si>
    <t>5. ค่าจ้างเหมาดูแลทรัพย์สินและรักษาความปลอดภัยให้แก่โรงเรียนในสังกัดกรุงเทพมหานคร</t>
  </si>
  <si>
    <t>เป็นเงิน 369,000 บาท</t>
  </si>
  <si>
    <r>
      <t xml:space="preserve">   จำนวน 10 อัตรา </t>
    </r>
    <r>
      <rPr>
        <b/>
        <sz val="16"/>
        <color theme="1"/>
        <rFont val="TH SarabunPSK"/>
        <family val="2"/>
      </rPr>
      <t>เป็นเงิน 134,000 บาท</t>
    </r>
  </si>
  <si>
    <r>
      <t xml:space="preserve">   </t>
    </r>
    <r>
      <rPr>
        <b/>
        <sz val="16"/>
        <color theme="1"/>
        <rFont val="TH SarabunPSK"/>
        <family val="2"/>
      </rPr>
      <t>เป็นเงิน 449,800 บาท</t>
    </r>
  </si>
  <si>
    <r>
      <t xml:space="preserve">3. ค่าจ้างทำความสะอาดอาคาร </t>
    </r>
    <r>
      <rPr>
        <b/>
        <sz val="16"/>
        <color theme="1"/>
        <rFont val="TH SarabunPSK"/>
        <family val="2"/>
      </rPr>
      <t>เป็นเงิน 145,320 บาท</t>
    </r>
  </si>
  <si>
    <r>
      <t xml:space="preserve">6. ค่าใช้จ่ายในการบริหารจัดการพิพิธภัณฑ์ท้องถิ่นกรุงเทพมหานคร </t>
    </r>
    <r>
      <rPr>
        <b/>
        <sz val="16"/>
        <color theme="1"/>
        <rFont val="TH SarabunPSK"/>
        <family val="2"/>
      </rPr>
      <t>เป็นเงิน 12,600 บาท</t>
    </r>
  </si>
  <si>
    <r>
      <t xml:space="preserve">4. ค่าจ้างเหมาบริการทำความสะอาดในโรงเรียนสังกัดกรุงเทพมหานคร </t>
    </r>
    <r>
      <rPr>
        <b/>
        <sz val="16"/>
        <color theme="1"/>
        <rFont val="TH SarabunPSK"/>
        <family val="2"/>
      </rPr>
      <t>เป็นเงิน 176,397 บาท</t>
    </r>
  </si>
  <si>
    <t>รวมเป็นเงินทั้งสิ้น 1,287,117 บาท</t>
  </si>
  <si>
    <t>ผลการปฏิบัติงานและการใช้จ่ายงบประมาณรายจ่ายประจำปีงบประมาณ พ.ศ. 2566</t>
  </si>
  <si>
    <t xml:space="preserve">   5.2 ค่าที่ดิน ฯ (6 รายการ)</t>
  </si>
  <si>
    <t>ณ วันที่ 30 มิถุนายน 2566</t>
  </si>
  <si>
    <t>เป้าหมายการเบิกจ่ายในไตรมาสที่ 3 (ณ วันที่ 30 มิถุนายน 2566)  =</t>
  </si>
  <si>
    <t xml:space="preserve">ผลการเบิกจ่ายในภาพรวม ณ วันที่ 30 มิถุนายน 2566 = </t>
  </si>
  <si>
    <t xml:space="preserve">   5.1 ค่าครุภัณฑ์ (30+22 = 52 รายการ)</t>
  </si>
  <si>
    <t>(รวม 52 + 6 = 58 รายการ ประกอบด้วย)</t>
  </si>
  <si>
    <t xml:space="preserve">รายละเอียดการใช้จ่ายงบประมาณประจำปีงบประมาณ พ.ศ. 2566 </t>
  </si>
  <si>
    <t>รายการที่ไม่เป็นไปตามแผน</t>
  </si>
  <si>
    <t>ลำดับที่</t>
  </si>
  <si>
    <t>ผลการดำเนินการ</t>
  </si>
  <si>
    <t>เบิกจ่าย</t>
  </si>
  <si>
    <t>งบประมาณ</t>
  </si>
  <si>
    <t>หมายเหตุ</t>
  </si>
  <si>
    <t>ค่าวัสดุสำนักงาน</t>
  </si>
  <si>
    <t>ฝ่ายปกครอง</t>
  </si>
  <si>
    <t>ก่อหนี้</t>
  </si>
  <si>
    <t>ค่าวัสดุอุปกรณ์คอมพิวเตอร์</t>
  </si>
  <si>
    <t xml:space="preserve">ค่าวัสดุไฟฟ้า ประปา งานบ้าน งานครัวและงานสวน </t>
  </si>
  <si>
    <t>ฝ่ายทะเบียน</t>
  </si>
  <si>
    <t>แผนการใช้จ่าย = 221,500</t>
  </si>
  <si>
    <t>แผนการใช้จ่าย = 92,000</t>
  </si>
  <si>
    <t>แผนการใช้จ่าย = 90,000</t>
  </si>
  <si>
    <t>ค่าใช้จ่ายในการฝึกอบรมอาสาสมัครป้องกันภัยฝ่ายพลเรือน (หลักสูตรทบทวน)</t>
  </si>
  <si>
    <t>แผนการใช้จ่าย = 41,500</t>
  </si>
  <si>
    <t>แผนการใช้จ่าย = 181,000</t>
  </si>
  <si>
    <t>ฝ่ายรายได้</t>
  </si>
  <si>
    <t>แผนการใช้จ่าย = 84,000</t>
  </si>
  <si>
    <t>ฝ่ายรักษาความสะอาด</t>
  </si>
  <si>
    <t>แผนการใช้จ่าย = 85,000</t>
  </si>
  <si>
    <t>แผนการใช้จ่าย = 50,000</t>
  </si>
  <si>
    <t>ฝ่ายโยธา</t>
  </si>
  <si>
    <t>ค่าวัสดุสำหรับหน่วยบริการเร่งด่วนกรุงเทพมหานคร (Best)</t>
  </si>
  <si>
    <t>แผนการใช้จ่าย = 700,000</t>
  </si>
  <si>
    <t xml:space="preserve">ค่าวัสดุอุปกรณ์ทำความสะอาดท่อระบายน้ำ </t>
  </si>
  <si>
    <t>แผนการใช้จ่าย = 72,000</t>
  </si>
  <si>
    <t>ค่าวัสดุป้องกันอุบัติภัย</t>
  </si>
  <si>
    <t>แผนการใช้จ่าย = 23,500</t>
  </si>
  <si>
    <t>ฝ่ายสิ่งแวดล้อมและสุขาภิบาล</t>
  </si>
  <si>
    <t>แผนการใช้จ่าย = 79,000</t>
  </si>
  <si>
    <t>แผนการใช้จ่าย = 40,000</t>
  </si>
  <si>
    <t>ฝ่ายการศึกษา</t>
  </si>
  <si>
    <t>ค่าซ่อมแซมโรงเรียน</t>
  </si>
  <si>
    <t>แผนการใช้จ่าย = 3,000,000</t>
  </si>
  <si>
    <t>แผนการใช้จ่าย = 46,500</t>
  </si>
  <si>
    <t>แผนการใช้จ่าย = 30,000</t>
  </si>
  <si>
    <t>ค่าวัสดุ อุปกรณ์ เครื่องใช้ส่วนตัวของเด็กอนุบาล</t>
  </si>
  <si>
    <t>แผนการใช้จ่าย = 165,600</t>
  </si>
  <si>
    <t>ค่าสารกรองเครื่องกรองน้ำ</t>
  </si>
  <si>
    <t>แผนการใช้จ่าย = 27,000</t>
  </si>
  <si>
    <t>ค่าใช้จ่ายโครงการอาสาสมัครกรุงเทพมหานครด้านการป้องกันและแก้ไขปัญหายาและสารเสพติด</t>
  </si>
  <si>
    <t>แผนการใช้จ่าย = 65,000</t>
  </si>
  <si>
    <t>ค่าใช้จ่ายในการฝึกอบรมวิชาชีพเสริมรายได้</t>
  </si>
  <si>
    <t>ฝ่ายพัฒนาชุมชนและบริการสังคม</t>
  </si>
  <si>
    <t>แผนการใช้จ่าย = 100,000</t>
  </si>
  <si>
    <t>ค่าใช้จ่ายในการจัดสวัสดิการ การสงเคราะห์ช่วยเหลือเด็ก สตรี ครบครัว ผู้ด้อยโอกาส ผู้สูงอายุและคนพิการ</t>
  </si>
  <si>
    <t>แผนการใช้จ่าย = 253,000</t>
  </si>
  <si>
    <t>ค่าใช้จ่ายโครงการกรุงเทพมหานครเขตปลอดบุหรี่</t>
  </si>
  <si>
    <t>แผนการใช้จ่าย = 20,000</t>
  </si>
  <si>
    <t>ค่าใช้จ่ายในการฝึกอบรมนายหมู่ลูกเสือสามัญ สามัญรุ่นใหญ่และหัวหน้าหน่วยยุวกาชาด</t>
  </si>
  <si>
    <t>แผนการใช้จ่าย = 113,000</t>
  </si>
  <si>
    <t>ค่าใช้จ่ายในการจัดประชุมสัมมนาคณะกรรมการสถานศึกษาขั้นพื้นฐานโรงเรียนสังกัดกรุงเทพมหานคร</t>
  </si>
  <si>
    <t>แผนการใช้จ่าย = 81,300</t>
  </si>
  <si>
    <t>ค่าใช้จ่ายโครงการว่ายน้ำเป็น เล่นน้ำได้ปลอดภัย</t>
  </si>
  <si>
    <t>แผนการใช้จ่าย = 249,000</t>
  </si>
  <si>
    <t>ค่าใช้จ่ายตามโครงการเรียนฟรี เรียนดี อย่างมีคุณภาพโรงเรียนสังกัดกรุงเทพมหานคร</t>
  </si>
  <si>
    <t>แผนการใช้จ่าย = 1,780,200</t>
  </si>
  <si>
    <t>ค่าใช้จ่ายในการส่งเสริมกีฬานักเรียนสังกัดกรุงเทพมหานคร</t>
  </si>
  <si>
    <t>แผนการใช้จ่าย = 89,400</t>
  </si>
  <si>
    <t>ค่าใช้จ่ายในการเสริมสร้างศักยภาพของเด็กและเยาวชนเพื่อคุณภาพชีวิตที่ดีในพื้นที่กรุงเทพมหานครตามพระราชดำริ สมเด็จพระกนิษฐาธิราชเจ้ากรมสมเด็จพระเทพรัตนราชสุดาฯ สยามบรมราชกุมารี</t>
  </si>
  <si>
    <t>ค่าใช้จ่ายในการอนุรักษ์พันธุกรรมพืชอันเนื่องมาจากพระราชดำริสมเด็จพระเทพรัตนราชสุดาฯสยามบรมราชกุมารีสนองพระราชดำริโดยกรุงเทพมหานคร ปี 2566</t>
  </si>
  <si>
    <t>แผนการใช้จ่าย = 14,000</t>
  </si>
  <si>
    <t>เป้าหมายการเบิกจ่ายในไตรมาสที่ 4 (ณ วันที่ 30 กันยายน 2566)  =</t>
  </si>
  <si>
    <t>ณ วันที่ 30 กันยายน 2566</t>
  </si>
  <si>
    <t xml:space="preserve">ผลการเบิกจ่ายในภาพรวม ณ วันที่ 30 กันยายน 2566 = </t>
  </si>
  <si>
    <t xml:space="preserve">   5.1 ค่าครุภัณฑ์ </t>
  </si>
  <si>
    <t xml:space="preserve">   5.2 ค่าที่ดินและสิ่งก่อสร้าง </t>
  </si>
  <si>
    <t>ณ วันที่ 31 มีนาคม 2567</t>
  </si>
  <si>
    <t>ประเภทงบรายจ่าย</t>
  </si>
  <si>
    <t>ปัญหา/อุปสรรค
ในการดำเนินงาน</t>
  </si>
  <si>
    <t>หลังปรับโอน</t>
  </si>
  <si>
    <t>ผลการเบิกจ่ายเงิน</t>
  </si>
  <si>
    <t>(จำนวนเงิน)</t>
  </si>
  <si>
    <t>การเบิกจ่าย</t>
  </si>
  <si>
    <t>ผลการปฏิบัติงานและการใช้จ่ายงบประมาณรายจ่ายประจำปีงบประมาณ พ.ศ. 2568</t>
  </si>
  <si>
    <t>ณ วันที่ 31 ธันวาคม 2567</t>
  </si>
  <si>
    <t>เป้าหมายการเบิกจ่ายในไตรมาสที่ 1 (ณ วันที่ 31 ธันวาคม 2567)  =</t>
  </si>
  <si>
    <t xml:space="preserve">ผลการเบิกจ่ายในภาพรวม ณ วันที่ ณ วันที่ 31 ธันวาคม 2567 = </t>
  </si>
  <si>
    <t>ณ วันที่ 31 มีนาคม 2568</t>
  </si>
  <si>
    <t>เป้าหมายการเบิกจ่ายในไตรมาสที่ 2 (ณ วันที่ 31 มีนาคม 2568)  =</t>
  </si>
  <si>
    <t xml:space="preserve">ผลการเบิกจ่ายในภาพรวม ณ วันที่ 31 มีนาคม 2568 = </t>
  </si>
  <si>
    <t>ข้อมูล ณ วันที่ 31 มีนาคม พ.ศ.2568</t>
  </si>
  <si>
    <t>-ครุภัณฑ์ 47 รายการ งบประมาณ 4,457,290 บาท (ก่อหนี้ครบทุกรายการ)</t>
  </si>
  <si>
    <t>ค่าที่ดินและสิ่งก่อสร้างตามข้อบัญญัติ 19 รายการ งบประมาณ 35,490,000 บาท</t>
  </si>
  <si>
    <t>ค่าที่ดินและสิ่งก่อสร้างที่ได้รับโอน 1 รายการ งบประมาณ 23,343,000 บาท</t>
  </si>
  <si>
    <t>เบิกจ่ายแล้ว 29 รายการ เป็นเงิน 1,360,592 บาท</t>
  </si>
  <si>
    <t>-ค่าที่ดินและสิ่งก่อสร้าง 20 รายการ งบประมาณ  58,833,000 บาท (ก่อหนี้แล้ว 10 รายการ)</t>
  </si>
  <si>
    <t>1. มีการแก้ไขแบบก่อสร้างเขื่อน ค.ส.ล. (ดาดท้องคลอง) เนื่องจากมีสะพานข้ามคลอง 2 แห่ง</t>
  </si>
  <si>
    <t>2. รายการก่อสร้างสวน 15 นาทีฯ ประกาศเชิญชวน ครั้งที่ 1 ยกเลิก</t>
  </si>
  <si>
    <t xml:space="preserve">เนื่องจากไม่มีผู้ยื่นเสนอราคา </t>
  </si>
  <si>
    <t>จึงต้องเพิ่มงานดาดใต้สะพาน จึงทำให้ดำเนินการล่าช้า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</si>
</sst>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1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u/>
      <sz val="14"/>
      <color theme="1"/>
      <name val="TH SarabunPSK"/>
      <family val="2"/>
    </font>
    <font>
      <b/>
      <u/>
      <sz val="16"/>
      <color theme="1"/>
      <name val="TH SarabunPSK"/>
      <family val="2"/>
    </font>
    <font>
      <i/>
      <sz val="16"/>
      <color theme="1"/>
      <name val="TH SarabunPSK"/>
      <family val="2"/>
    </font>
    <font>
      <b/>
      <sz val="14"/>
      <color theme="1"/>
      <name val="TH SarabunPSK"/>
      <family val="2"/>
    </font>
    <font>
      <b/>
      <sz val="12"/>
      <color theme="1"/>
      <name val="TH SarabunPSK"/>
      <family val="2"/>
    </font>
    <font>
      <i/>
      <sz val="14"/>
      <color theme="1"/>
      <name val="TH SarabunPSK"/>
      <family val="2"/>
    </font>
    <font>
      <sz val="14"/>
      <color theme="1"/>
      <name val="TH SarabunPSK"/>
      <family val="2"/>
    </font>
    <font>
      <sz val="8"/>
      <name val="Calibri"/>
      <family val="2"/>
      <charset val="222"/>
      <scheme val="minor"/>
    </font>
    <font>
      <i/>
      <sz val="12"/>
      <color theme="1"/>
      <name val="TH SarabunPSK"/>
      <family val="2"/>
    </font>
    <font>
      <i/>
      <sz val="14"/>
      <name val="TH SarabunPSK"/>
      <family val="2"/>
    </font>
    <font>
      <b/>
      <sz val="14"/>
      <color rgb="FF0070C0"/>
      <name val="TH SarabunPSK"/>
      <family val="2"/>
    </font>
    <font>
      <b/>
      <sz val="12"/>
      <color rgb="FF0070C0"/>
      <name val="TH SarabunPSK"/>
      <family val="2"/>
    </font>
    <font>
      <i/>
      <sz val="12"/>
      <color rgb="FF0070C0"/>
      <name val="TH SarabunPSK"/>
      <family val="2"/>
    </font>
    <font>
      <b/>
      <i/>
      <sz val="16"/>
      <color theme="1"/>
      <name val="TH SarabunPSK"/>
      <family val="2"/>
    </font>
    <font>
      <b/>
      <sz val="16"/>
      <color rgb="FF0070C0"/>
      <name val="TH SarabunPSK"/>
      <family val="2"/>
    </font>
    <font>
      <b/>
      <i/>
      <sz val="16"/>
      <color rgb="FF0070C0"/>
      <name val="TH SarabunPSK"/>
      <family val="2"/>
    </font>
    <font>
      <sz val="16"/>
      <name val="TH SarabunPSK"/>
      <family val="2"/>
    </font>
  </fonts>
  <fills count="1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88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43" fontId="3" fillId="0" borderId="0" xfId="0" applyNumberFormat="1" applyFont="1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/>
    <xf numFmtId="43" fontId="2" fillId="0" borderId="4" xfId="1" applyFont="1" applyFill="1" applyBorder="1"/>
    <xf numFmtId="0" fontId="2" fillId="0" borderId="5" xfId="0" applyFont="1" applyBorder="1"/>
    <xf numFmtId="43" fontId="2" fillId="0" borderId="5" xfId="1" applyFont="1" applyFill="1" applyBorder="1"/>
    <xf numFmtId="0" fontId="2" fillId="0" borderId="5" xfId="0" applyFont="1" applyBorder="1" applyAlignment="1">
      <alignment shrinkToFit="1"/>
    </xf>
    <xf numFmtId="0" fontId="6" fillId="0" borderId="0" xfId="0" applyFont="1"/>
    <xf numFmtId="0" fontId="2" fillId="0" borderId="6" xfId="0" applyFont="1" applyBorder="1"/>
    <xf numFmtId="43" fontId="2" fillId="0" borderId="6" xfId="1" applyFont="1" applyFill="1" applyBorder="1"/>
    <xf numFmtId="0" fontId="2" fillId="0" borderId="7" xfId="0" applyFont="1" applyBorder="1" applyAlignment="1">
      <alignment horizontal="center" shrinkToFit="1"/>
    </xf>
    <xf numFmtId="43" fontId="2" fillId="0" borderId="7" xfId="1" applyFont="1" applyFill="1" applyBorder="1" applyAlignment="1">
      <alignment shrinkToFit="1"/>
    </xf>
    <xf numFmtId="43" fontId="2" fillId="0" borderId="8" xfId="1" applyFont="1" applyFill="1" applyBorder="1"/>
    <xf numFmtId="10" fontId="2" fillId="0" borderId="4" xfId="2" applyNumberFormat="1" applyFont="1" applyFill="1" applyBorder="1"/>
    <xf numFmtId="43" fontId="2" fillId="0" borderId="9" xfId="1" applyFont="1" applyFill="1" applyBorder="1"/>
    <xf numFmtId="10" fontId="2" fillId="0" borderId="5" xfId="2" applyNumberFormat="1" applyFont="1" applyFill="1" applyBorder="1"/>
    <xf numFmtId="10" fontId="2" fillId="0" borderId="4" xfId="2" applyNumberFormat="1" applyFont="1" applyFill="1" applyBorder="1" applyAlignment="1">
      <alignment shrinkToFit="1"/>
    </xf>
    <xf numFmtId="10" fontId="2" fillId="0" borderId="5" xfId="2" applyNumberFormat="1" applyFont="1" applyFill="1" applyBorder="1" applyAlignment="1">
      <alignment shrinkToFit="1"/>
    </xf>
    <xf numFmtId="10" fontId="2" fillId="0" borderId="7" xfId="2" applyNumberFormat="1" applyFont="1" applyFill="1" applyBorder="1" applyAlignment="1">
      <alignment shrinkToFit="1"/>
    </xf>
    <xf numFmtId="0" fontId="2" fillId="0" borderId="0" xfId="0" applyFont="1" applyAlignment="1">
      <alignment horizontal="center" shrinkToFit="1"/>
    </xf>
    <xf numFmtId="43" fontId="2" fillId="0" borderId="0" xfId="1" applyFont="1" applyFill="1" applyBorder="1" applyAlignment="1">
      <alignment shrinkToFit="1"/>
    </xf>
    <xf numFmtId="10" fontId="2" fillId="0" borderId="0" xfId="2" applyNumberFormat="1" applyFont="1" applyFill="1" applyBorder="1" applyAlignment="1">
      <alignment shrinkToFit="1"/>
    </xf>
    <xf numFmtId="0" fontId="3" fillId="0" borderId="13" xfId="0" applyFont="1" applyBorder="1"/>
    <xf numFmtId="0" fontId="3" fillId="0" borderId="14" xfId="0" applyFont="1" applyBorder="1"/>
    <xf numFmtId="0" fontId="3" fillId="0" borderId="15" xfId="0" applyFont="1" applyBorder="1"/>
    <xf numFmtId="0" fontId="3" fillId="0" borderId="16" xfId="0" applyFont="1" applyBorder="1"/>
    <xf numFmtId="0" fontId="3" fillId="0" borderId="17" xfId="0" applyFont="1" applyBorder="1"/>
    <xf numFmtId="0" fontId="3" fillId="0" borderId="11" xfId="0" applyFont="1" applyBorder="1"/>
    <xf numFmtId="0" fontId="3" fillId="0" borderId="12" xfId="0" applyFont="1" applyBorder="1"/>
    <xf numFmtId="0" fontId="2" fillId="0" borderId="10" xfId="0" applyFont="1" applyBorder="1"/>
    <xf numFmtId="9" fontId="2" fillId="0" borderId="0" xfId="2" applyFont="1" applyFill="1" applyBorder="1" applyAlignment="1">
      <alignment horizontal="center"/>
    </xf>
    <xf numFmtId="10" fontId="2" fillId="0" borderId="0" xfId="0" applyNumberFormat="1" applyFont="1" applyAlignment="1">
      <alignment horizontal="center"/>
    </xf>
    <xf numFmtId="43" fontId="2" fillId="0" borderId="0" xfId="1" applyFont="1" applyFill="1" applyBorder="1"/>
    <xf numFmtId="0" fontId="7" fillId="0" borderId="8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 wrapText="1"/>
    </xf>
    <xf numFmtId="0" fontId="7" fillId="0" borderId="0" xfId="0" applyFont="1"/>
    <xf numFmtId="0" fontId="10" fillId="0" borderId="0" xfId="0" applyFont="1"/>
    <xf numFmtId="0" fontId="7" fillId="0" borderId="0" xfId="0" applyFont="1" applyAlignment="1">
      <alignment vertical="center"/>
    </xf>
    <xf numFmtId="43" fontId="7" fillId="0" borderId="1" xfId="1" applyFont="1" applyBorder="1" applyAlignment="1">
      <alignment vertical="center"/>
    </xf>
    <xf numFmtId="10" fontId="7" fillId="0" borderId="1" xfId="2" applyNumberFormat="1" applyFont="1" applyBorder="1" applyAlignment="1">
      <alignment vertical="center"/>
    </xf>
    <xf numFmtId="0" fontId="9" fillId="0" borderId="1" xfId="0" applyFont="1" applyBorder="1" applyAlignment="1">
      <alignment vertical="center"/>
    </xf>
    <xf numFmtId="43" fontId="9" fillId="0" borderId="1" xfId="1" applyFont="1" applyBorder="1" applyAlignment="1">
      <alignment vertical="center"/>
    </xf>
    <xf numFmtId="10" fontId="9" fillId="0" borderId="1" xfId="2" applyNumberFormat="1" applyFont="1" applyBorder="1" applyAlignment="1">
      <alignment vertical="center"/>
    </xf>
    <xf numFmtId="0" fontId="9" fillId="0" borderId="0" xfId="0" applyFont="1" applyAlignment="1">
      <alignment vertical="center"/>
    </xf>
    <xf numFmtId="43" fontId="9" fillId="0" borderId="1" xfId="1" applyFont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/>
    </xf>
    <xf numFmtId="43" fontId="7" fillId="2" borderId="1" xfId="1" applyFont="1" applyFill="1" applyBorder="1" applyAlignment="1">
      <alignment vertical="center"/>
    </xf>
    <xf numFmtId="10" fontId="7" fillId="2" borderId="1" xfId="2" applyNumberFormat="1" applyFont="1" applyFill="1" applyBorder="1" applyAlignment="1">
      <alignment vertical="center"/>
    </xf>
    <xf numFmtId="0" fontId="7" fillId="2" borderId="1" xfId="0" applyFont="1" applyFill="1" applyBorder="1" applyAlignment="1">
      <alignment vertical="center"/>
    </xf>
    <xf numFmtId="43" fontId="3" fillId="0" borderId="0" xfId="1" applyFont="1" applyAlignment="1">
      <alignment horizontal="center" vertical="center"/>
    </xf>
    <xf numFmtId="43" fontId="3" fillId="0" borderId="1" xfId="1" applyFont="1" applyBorder="1" applyAlignment="1">
      <alignment horizontal="center" vertical="center"/>
    </xf>
    <xf numFmtId="43" fontId="3" fillId="3" borderId="1" xfId="1" applyFont="1" applyFill="1" applyBorder="1" applyAlignment="1">
      <alignment horizontal="center" vertical="center"/>
    </xf>
    <xf numFmtId="43" fontId="9" fillId="0" borderId="9" xfId="1" applyFont="1" applyBorder="1" applyAlignment="1">
      <alignment vertical="center"/>
    </xf>
    <xf numFmtId="43" fontId="10" fillId="0" borderId="0" xfId="1" applyFont="1"/>
    <xf numFmtId="43" fontId="12" fillId="0" borderId="1" xfId="1" applyFont="1" applyBorder="1" applyAlignment="1">
      <alignment vertical="center"/>
    </xf>
    <xf numFmtId="10" fontId="12" fillId="0" borderId="1" xfId="2" applyNumberFormat="1" applyFont="1" applyBorder="1" applyAlignment="1">
      <alignment vertical="center"/>
    </xf>
    <xf numFmtId="43" fontId="8" fillId="2" borderId="1" xfId="1" applyFont="1" applyFill="1" applyBorder="1" applyAlignment="1">
      <alignment vertical="center"/>
    </xf>
    <xf numFmtId="10" fontId="8" fillId="2" borderId="1" xfId="2" applyNumberFormat="1" applyFont="1" applyFill="1" applyBorder="1" applyAlignment="1">
      <alignment vertical="center"/>
    </xf>
    <xf numFmtId="0" fontId="2" fillId="0" borderId="0" xfId="0" applyFont="1" applyAlignment="1">
      <alignment horizontal="right"/>
    </xf>
    <xf numFmtId="43" fontId="2" fillId="0" borderId="0" xfId="0" applyNumberFormat="1" applyFont="1" applyAlignment="1">
      <alignment horizontal="center"/>
    </xf>
    <xf numFmtId="10" fontId="10" fillId="0" borderId="0" xfId="0" applyNumberFormat="1" applyFont="1"/>
    <xf numFmtId="10" fontId="10" fillId="0" borderId="0" xfId="2" applyNumberFormat="1" applyFont="1"/>
    <xf numFmtId="43" fontId="13" fillId="4" borderId="1" xfId="1" applyFont="1" applyFill="1" applyBorder="1" applyAlignment="1">
      <alignment vertical="center"/>
    </xf>
    <xf numFmtId="10" fontId="9" fillId="4" borderId="1" xfId="2" applyNumberFormat="1" applyFont="1" applyFill="1" applyBorder="1" applyAlignment="1">
      <alignment vertical="center"/>
    </xf>
    <xf numFmtId="0" fontId="14" fillId="0" borderId="1" xfId="0" applyFont="1" applyBorder="1" applyAlignment="1">
      <alignment vertical="center"/>
    </xf>
    <xf numFmtId="43" fontId="14" fillId="0" borderId="1" xfId="1" applyFont="1" applyBorder="1" applyAlignment="1">
      <alignment vertical="center"/>
    </xf>
    <xf numFmtId="10" fontId="14" fillId="0" borderId="1" xfId="2" applyNumberFormat="1" applyFont="1" applyBorder="1" applyAlignment="1">
      <alignment vertical="center"/>
    </xf>
    <xf numFmtId="43" fontId="15" fillId="0" borderId="1" xfId="1" applyFont="1" applyBorder="1" applyAlignment="1">
      <alignment vertical="center"/>
    </xf>
    <xf numFmtId="10" fontId="15" fillId="0" borderId="1" xfId="1" applyNumberFormat="1" applyFont="1" applyBorder="1" applyAlignment="1">
      <alignment vertical="center"/>
    </xf>
    <xf numFmtId="10" fontId="15" fillId="0" borderId="1" xfId="2" applyNumberFormat="1" applyFont="1" applyBorder="1" applyAlignment="1">
      <alignment vertical="center"/>
    </xf>
    <xf numFmtId="0" fontId="14" fillId="0" borderId="0" xfId="0" applyFont="1" applyAlignment="1">
      <alignment vertical="center"/>
    </xf>
    <xf numFmtId="10" fontId="16" fillId="0" borderId="1" xfId="2" applyNumberFormat="1" applyFont="1" applyBorder="1" applyAlignment="1">
      <alignment vertical="center"/>
    </xf>
    <xf numFmtId="43" fontId="14" fillId="0" borderId="1" xfId="1" applyFont="1" applyBorder="1" applyAlignment="1">
      <alignment horizontal="right" vertical="center"/>
    </xf>
    <xf numFmtId="43" fontId="3" fillId="4" borderId="1" xfId="1" applyFont="1" applyFill="1" applyBorder="1" applyAlignment="1">
      <alignment horizontal="center" vertical="center"/>
    </xf>
    <xf numFmtId="43" fontId="9" fillId="4" borderId="1" xfId="1" applyFont="1" applyFill="1" applyBorder="1" applyAlignment="1">
      <alignment vertical="center"/>
    </xf>
    <xf numFmtId="43" fontId="2" fillId="0" borderId="0" xfId="1" applyFont="1" applyAlignment="1">
      <alignment horizontal="center" vertical="center"/>
    </xf>
    <xf numFmtId="43" fontId="2" fillId="0" borderId="1" xfId="1" applyFont="1" applyBorder="1" applyAlignment="1">
      <alignment horizontal="center" vertical="center"/>
    </xf>
    <xf numFmtId="43" fontId="3" fillId="5" borderId="1" xfId="1" applyFont="1" applyFill="1" applyBorder="1" applyAlignment="1">
      <alignment horizontal="center" vertical="center"/>
    </xf>
    <xf numFmtId="43" fontId="3" fillId="2" borderId="1" xfId="1" applyFont="1" applyFill="1" applyBorder="1" applyAlignment="1">
      <alignment horizontal="center" vertical="center"/>
    </xf>
    <xf numFmtId="43" fontId="3" fillId="6" borderId="1" xfId="1" applyFont="1" applyFill="1" applyBorder="1" applyAlignment="1">
      <alignment horizontal="center" vertical="center"/>
    </xf>
    <xf numFmtId="43" fontId="2" fillId="7" borderId="1" xfId="1" applyFont="1" applyFill="1" applyBorder="1" applyAlignment="1">
      <alignment horizontal="center" vertical="center"/>
    </xf>
    <xf numFmtId="43" fontId="2" fillId="8" borderId="1" xfId="1" applyFont="1" applyFill="1" applyBorder="1" applyAlignment="1">
      <alignment horizontal="center" vertical="center"/>
    </xf>
    <xf numFmtId="43" fontId="2" fillId="9" borderId="1" xfId="1" applyFont="1" applyFill="1" applyBorder="1" applyAlignment="1">
      <alignment horizontal="center" vertical="center"/>
    </xf>
    <xf numFmtId="43" fontId="2" fillId="10" borderId="1" xfId="1" applyFont="1" applyFill="1" applyBorder="1" applyAlignment="1">
      <alignment horizontal="center" vertical="center"/>
    </xf>
    <xf numFmtId="43" fontId="2" fillId="11" borderId="1" xfId="1" applyFont="1" applyFill="1" applyBorder="1" applyAlignment="1">
      <alignment horizontal="center" vertical="center"/>
    </xf>
    <xf numFmtId="10" fontId="2" fillId="0" borderId="1" xfId="2" applyNumberFormat="1" applyFont="1" applyFill="1" applyBorder="1" applyAlignment="1">
      <alignment horizontal="center"/>
    </xf>
    <xf numFmtId="10" fontId="2" fillId="0" borderId="1" xfId="2" applyNumberFormat="1" applyFont="1" applyFill="1" applyBorder="1" applyAlignment="1">
      <alignment horizontal="center" shrinkToFit="1"/>
    </xf>
    <xf numFmtId="0" fontId="3" fillId="0" borderId="0" xfId="0" applyFont="1" applyAlignment="1">
      <alignment horizontal="center"/>
    </xf>
    <xf numFmtId="10" fontId="17" fillId="0" borderId="9" xfId="2" applyNumberFormat="1" applyFont="1" applyFill="1" applyBorder="1" applyAlignment="1">
      <alignment horizontal="center"/>
    </xf>
    <xf numFmtId="10" fontId="17" fillId="0" borderId="1" xfId="2" applyNumberFormat="1" applyFont="1" applyFill="1" applyBorder="1" applyAlignment="1">
      <alignment horizontal="center" shrinkToFit="1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0" fontId="2" fillId="0" borderId="0" xfId="0" applyFont="1" applyAlignment="1">
      <alignment wrapText="1"/>
    </xf>
    <xf numFmtId="0" fontId="5" fillId="0" borderId="0" xfId="0" applyFont="1" applyAlignment="1">
      <alignment horizontal="center"/>
    </xf>
    <xf numFmtId="0" fontId="5" fillId="0" borderId="0" xfId="0" applyFont="1"/>
    <xf numFmtId="43" fontId="2" fillId="0" borderId="0" xfId="0" applyNumberFormat="1" applyFont="1"/>
    <xf numFmtId="10" fontId="18" fillId="0" borderId="5" xfId="2" applyNumberFormat="1" applyFont="1" applyFill="1" applyBorder="1"/>
    <xf numFmtId="43" fontId="19" fillId="0" borderId="5" xfId="1" applyFont="1" applyFill="1" applyBorder="1"/>
    <xf numFmtId="10" fontId="18" fillId="0" borderId="5" xfId="2" applyNumberFormat="1" applyFont="1" applyFill="1" applyBorder="1" applyAlignment="1">
      <alignment shrinkToFit="1"/>
    </xf>
    <xf numFmtId="0" fontId="19" fillId="0" borderId="5" xfId="0" applyFont="1" applyBorder="1"/>
    <xf numFmtId="43" fontId="19" fillId="0" borderId="5" xfId="1" applyFont="1" applyFill="1" applyBorder="1" applyAlignment="1">
      <alignment shrinkToFit="1"/>
    </xf>
    <xf numFmtId="10" fontId="2" fillId="0" borderId="0" xfId="0" applyNumberFormat="1" applyFont="1"/>
    <xf numFmtId="43" fontId="3" fillId="0" borderId="0" xfId="1" applyFont="1"/>
    <xf numFmtId="0" fontId="3" fillId="0" borderId="1" xfId="0" applyFont="1" applyBorder="1" applyAlignment="1">
      <alignment horizontal="center" vertical="center"/>
    </xf>
    <xf numFmtId="0" fontId="2" fillId="0" borderId="1" xfId="0" applyFont="1" applyBorder="1"/>
    <xf numFmtId="0" fontId="3" fillId="0" borderId="1" xfId="0" applyFont="1" applyBorder="1"/>
    <xf numFmtId="43" fontId="3" fillId="0" borderId="1" xfId="1" applyFont="1" applyBorder="1"/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wrapText="1"/>
    </xf>
    <xf numFmtId="43" fontId="3" fillId="0" borderId="1" xfId="1" applyFont="1" applyBorder="1" applyAlignment="1">
      <alignment vertical="center"/>
    </xf>
    <xf numFmtId="0" fontId="3" fillId="0" borderId="1" xfId="0" applyFont="1" applyBorder="1" applyAlignment="1">
      <alignment vertical="center"/>
    </xf>
    <xf numFmtId="43" fontId="2" fillId="0" borderId="1" xfId="1" applyFont="1" applyBorder="1"/>
    <xf numFmtId="0" fontId="3" fillId="12" borderId="1" xfId="0" applyFont="1" applyFill="1" applyBorder="1" applyAlignment="1">
      <alignment horizontal="center" vertical="center"/>
    </xf>
    <xf numFmtId="0" fontId="2" fillId="12" borderId="1" xfId="0" applyFont="1" applyFill="1" applyBorder="1"/>
    <xf numFmtId="0" fontId="3" fillId="12" borderId="1" xfId="0" applyFont="1" applyFill="1" applyBorder="1"/>
    <xf numFmtId="43" fontId="3" fillId="12" borderId="1" xfId="1" applyFont="1" applyFill="1" applyBorder="1"/>
    <xf numFmtId="10" fontId="2" fillId="0" borderId="0" xfId="2" applyNumberFormat="1" applyFont="1" applyFill="1" applyBorder="1" applyAlignment="1">
      <alignment horizontal="center" shrinkToFit="1"/>
    </xf>
    <xf numFmtId="10" fontId="17" fillId="0" borderId="0" xfId="2" applyNumberFormat="1" applyFont="1" applyFill="1" applyBorder="1" applyAlignment="1">
      <alignment horizontal="center"/>
    </xf>
    <xf numFmtId="0" fontId="3" fillId="0" borderId="0" xfId="0" applyFont="1" applyAlignment="1">
      <alignment vertical="center"/>
    </xf>
    <xf numFmtId="0" fontId="2" fillId="13" borderId="8" xfId="0" applyFont="1" applyFill="1" applyBorder="1" applyAlignment="1">
      <alignment horizontal="center" vertical="center"/>
    </xf>
    <xf numFmtId="0" fontId="2" fillId="13" borderId="19" xfId="0" applyFont="1" applyFill="1" applyBorder="1" applyAlignment="1">
      <alignment horizontal="center" vertical="center"/>
    </xf>
    <xf numFmtId="0" fontId="2" fillId="13" borderId="9" xfId="0" applyFont="1" applyFill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43" fontId="2" fillId="0" borderId="4" xfId="1" applyFont="1" applyFill="1" applyBorder="1" applyAlignment="1">
      <alignment vertical="center"/>
    </xf>
    <xf numFmtId="43" fontId="2" fillId="0" borderId="8" xfId="1" applyFont="1" applyFill="1" applyBorder="1" applyAlignment="1">
      <alignment vertical="center"/>
    </xf>
    <xf numFmtId="10" fontId="2" fillId="0" borderId="8" xfId="2" applyNumberFormat="1" applyFont="1" applyFill="1" applyBorder="1" applyAlignment="1">
      <alignment vertical="center"/>
    </xf>
    <xf numFmtId="0" fontId="2" fillId="0" borderId="5" xfId="0" applyFont="1" applyBorder="1" applyAlignment="1">
      <alignment vertical="center"/>
    </xf>
    <xf numFmtId="43" fontId="2" fillId="0" borderId="5" xfId="1" applyFont="1" applyFill="1" applyBorder="1" applyAlignment="1">
      <alignment vertical="center"/>
    </xf>
    <xf numFmtId="10" fontId="2" fillId="0" borderId="5" xfId="2" applyNumberFormat="1" applyFont="1" applyFill="1" applyBorder="1" applyAlignment="1">
      <alignment vertical="center"/>
    </xf>
    <xf numFmtId="0" fontId="2" fillId="0" borderId="5" xfId="0" applyFont="1" applyBorder="1" applyAlignment="1">
      <alignment vertical="center" shrinkToFit="1"/>
    </xf>
    <xf numFmtId="0" fontId="19" fillId="0" borderId="5" xfId="0" applyFont="1" applyBorder="1" applyAlignment="1">
      <alignment vertical="center"/>
    </xf>
    <xf numFmtId="43" fontId="19" fillId="0" borderId="5" xfId="1" applyFont="1" applyFill="1" applyBorder="1" applyAlignment="1">
      <alignment vertical="center"/>
    </xf>
    <xf numFmtId="10" fontId="19" fillId="0" borderId="5" xfId="2" applyNumberFormat="1" applyFont="1" applyFill="1" applyBorder="1" applyAlignment="1">
      <alignment vertical="center"/>
    </xf>
    <xf numFmtId="0" fontId="6" fillId="0" borderId="0" xfId="0" applyFont="1" applyAlignment="1">
      <alignment vertical="center"/>
    </xf>
    <xf numFmtId="43" fontId="19" fillId="0" borderId="5" xfId="1" applyFont="1" applyFill="1" applyBorder="1" applyAlignment="1">
      <alignment vertical="center" shrinkToFit="1"/>
    </xf>
    <xf numFmtId="0" fontId="2" fillId="0" borderId="6" xfId="0" applyFont="1" applyBorder="1" applyAlignment="1">
      <alignment vertical="center"/>
    </xf>
    <xf numFmtId="43" fontId="2" fillId="0" borderId="6" xfId="1" applyFont="1" applyFill="1" applyBorder="1" applyAlignment="1">
      <alignment vertical="center"/>
    </xf>
    <xf numFmtId="43" fontId="2" fillId="0" borderId="9" xfId="1" applyFont="1" applyFill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3" fillId="0" borderId="7" xfId="0" applyFont="1" applyBorder="1" applyAlignment="1">
      <alignment vertical="center"/>
    </xf>
    <xf numFmtId="0" fontId="20" fillId="0" borderId="5" xfId="0" quotePrefix="1" applyFont="1" applyBorder="1" applyAlignment="1">
      <alignment vertical="center"/>
    </xf>
    <xf numFmtId="0" fontId="20" fillId="0" borderId="5" xfId="0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43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 wrapText="1"/>
    </xf>
    <xf numFmtId="0" fontId="3" fillId="0" borderId="0" xfId="0" applyFont="1" applyAlignment="1">
      <alignment horizontal="right" vertical="center"/>
    </xf>
    <xf numFmtId="0" fontId="2" fillId="13" borderId="1" xfId="0" applyFont="1" applyFill="1" applyBorder="1" applyAlignment="1">
      <alignment horizontal="center" vertical="center"/>
    </xf>
    <xf numFmtId="0" fontId="2" fillId="13" borderId="1" xfId="0" applyFont="1" applyFill="1" applyBorder="1" applyAlignment="1">
      <alignment horizontal="center" vertical="center" wrapText="1"/>
    </xf>
    <xf numFmtId="43" fontId="2" fillId="0" borderId="0" xfId="1" applyFont="1" applyAlignment="1">
      <alignment horizontal="center" vertical="center"/>
    </xf>
    <xf numFmtId="43" fontId="3" fillId="0" borderId="11" xfId="1" applyFont="1" applyBorder="1" applyAlignment="1">
      <alignment horizontal="right" vertical="center"/>
    </xf>
    <xf numFmtId="43" fontId="3" fillId="0" borderId="0" xfId="1" applyFont="1" applyAlignment="1">
      <alignment horizontal="right" vertical="center"/>
    </xf>
    <xf numFmtId="0" fontId="2" fillId="0" borderId="0" xfId="0" applyFont="1" applyAlignment="1">
      <alignment horizontal="center"/>
    </xf>
    <xf numFmtId="0" fontId="7" fillId="0" borderId="10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10" fontId="7" fillId="0" borderId="8" xfId="2" applyNumberFormat="1" applyFont="1" applyBorder="1" applyAlignment="1">
      <alignment horizontal="center" vertical="center"/>
    </xf>
    <xf numFmtId="10" fontId="7" fillId="0" borderId="19" xfId="2" applyNumberFormat="1" applyFont="1" applyBorder="1" applyAlignment="1">
      <alignment horizontal="center" vertical="center"/>
    </xf>
    <xf numFmtId="10" fontId="7" fillId="0" borderId="9" xfId="2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43" fontId="7" fillId="0" borderId="8" xfId="1" applyFont="1" applyBorder="1" applyAlignment="1">
      <alignment horizontal="center" vertical="center"/>
    </xf>
    <xf numFmtId="43" fontId="7" fillId="0" borderId="19" xfId="1" applyFont="1" applyBorder="1" applyAlignment="1">
      <alignment horizontal="center" vertical="center"/>
    </xf>
    <xf numFmtId="43" fontId="7" fillId="0" borderId="9" xfId="1" applyFont="1" applyBorder="1" applyAlignment="1">
      <alignment horizontal="center" vertical="center"/>
    </xf>
    <xf numFmtId="10" fontId="7" fillId="0" borderId="8" xfId="0" applyNumberFormat="1" applyFont="1" applyBorder="1" applyAlignment="1">
      <alignment horizontal="center" vertical="center"/>
    </xf>
    <xf numFmtId="10" fontId="7" fillId="0" borderId="19" xfId="0" applyNumberFormat="1" applyFont="1" applyBorder="1" applyAlignment="1">
      <alignment horizontal="center" vertical="center"/>
    </xf>
    <xf numFmtId="10" fontId="7" fillId="0" borderId="9" xfId="0" applyNumberFormat="1" applyFont="1" applyBorder="1" applyAlignment="1">
      <alignment horizontal="center" vertical="center"/>
    </xf>
    <xf numFmtId="43" fontId="3" fillId="0" borderId="0" xfId="1" applyFont="1" applyAlignment="1">
      <alignment horizontal="center" vertic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colors>
    <mruColors>
      <color rgb="FF9999FF"/>
      <color rgb="FFFF9999"/>
      <color rgb="FF669900"/>
      <color rgb="FF33CCFF"/>
      <color rgb="FFCCFF99"/>
      <color rgb="FF66CCFF"/>
      <color rgb="FFCC99FF"/>
      <color rgb="FF6699FF"/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spc="0" baseline="0">
                <a:solidFill>
                  <a:sysClr val="windowText" lastClr="000000"/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r>
              <a:rPr lang="th-TH" sz="18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ผลการเบิกจ่ายงบประมาณ                   </a:t>
            </a:r>
            <a:r>
              <a:rPr lang="en-US" sz="18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            </a:t>
            </a:r>
            <a:r>
              <a:rPr lang="th-TH" sz="18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ณ วันที่ </a:t>
            </a:r>
            <a:r>
              <a:rPr lang="en-US" sz="18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31 </a:t>
            </a:r>
            <a:r>
              <a:rPr lang="th-TH" sz="18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ธันวาคม 2567</a:t>
            </a:r>
          </a:p>
        </c:rich>
      </c:tx>
      <c:layout>
        <c:manualLayout>
          <c:xMode val="edge"/>
          <c:yMode val="edge"/>
          <c:x val="0.30958403401898438"/>
          <c:y val="4.2108580359023817E-2"/>
        </c:manualLayout>
      </c:layout>
      <c:overlay val="0"/>
      <c:spPr>
        <a:noFill/>
        <a:ln>
          <a:noFill/>
        </a:ln>
        <a:effectLst/>
      </c:sp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0501179808686582"/>
          <c:y val="0.30816818582361583"/>
          <c:w val="0.78997640382626833"/>
          <c:h val="0.47294653513866769"/>
        </c:manualLayout>
      </c:layout>
      <c:pie3DChart>
        <c:varyColors val="1"/>
        <c:ser>
          <c:idx val="1"/>
          <c:order val="0"/>
          <c:explosion val="15"/>
          <c:dLbls>
            <c:dLbl>
              <c:idx val="1"/>
              <c:layout>
                <c:manualLayout>
                  <c:x val="-0.18239497139717648"/>
                  <c:y val="-9.8351307771384858E-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F42-4C52-AA86-712172F8C23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600" b="1">
                    <a:solidFill>
                      <a:sysClr val="windowText" lastClr="000000"/>
                    </a:solidFill>
                    <a:latin typeface="TH SarabunPSK" panose="020B0500040200020003" pitchFamily="34" charset="-34"/>
                    <a:cs typeface="TH SarabunPSK" panose="020B0500040200020003" pitchFamily="34" charset="-34"/>
                  </a:defRPr>
                </a:pPr>
                <a:endParaRPr lang="th-TH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'ผลการใช้จ่าย ไตรมาส 1'!$J$8:$K$8</c:f>
              <c:strCache>
                <c:ptCount val="2"/>
                <c:pt idx="0">
                  <c:v>ผลการเบิกจ่าย</c:v>
                </c:pt>
                <c:pt idx="1">
                  <c:v>คงเหลือ</c:v>
                </c:pt>
              </c:strCache>
            </c:strRef>
          </c:cat>
          <c:val>
            <c:numRef>
              <c:f>'ผลการใช้จ่าย ไตรมาส 1'!$J$9:$K$9</c:f>
              <c:numCache>
                <c:formatCode>0.00%</c:formatCode>
                <c:ptCount val="2"/>
                <c:pt idx="0">
                  <c:v>0.13845224249912885</c:v>
                </c:pt>
                <c:pt idx="1">
                  <c:v>0.86154775750087109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F42-4C52-AA86-712172F8C23A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3F42-4C52-AA86-712172F8C23A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3F42-4C52-AA86-712172F8C23A}"/>
              </c:ext>
            </c:extLst>
          </c:dPt>
          <c:dLbls>
            <c:dLbl>
              <c:idx val="0"/>
              <c:layout>
                <c:manualLayout>
                  <c:x val="0.10196971553090627"/>
                  <c:y val="1.4189364362705474E-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42-4C52-AA86-712172F8C23A}"/>
                </c:ext>
              </c:extLst>
            </c:dLbl>
            <c:dLbl>
              <c:idx val="1"/>
              <c:layout>
                <c:manualLayout>
                  <c:x val="-3.7576568681243684E-2"/>
                  <c:y val="-2.3286418994194974E-3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42-4C52-AA86-712172F8C23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h-TH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'ผลการใช้จ่าย ไตรมาส 1'!$J$8:$K$8</c:f>
              <c:strCache>
                <c:ptCount val="2"/>
                <c:pt idx="0">
                  <c:v>ผลการเบิกจ่าย</c:v>
                </c:pt>
                <c:pt idx="1">
                  <c:v>คงเหลือ</c:v>
                </c:pt>
              </c:strCache>
            </c:strRef>
          </c:cat>
          <c:val>
            <c:numRef>
              <c:f>'ผลการใช้จ่าย ไตรมาส 1'!$J$9:$K$9</c:f>
              <c:numCache>
                <c:formatCode>0.00%</c:formatCode>
                <c:ptCount val="2"/>
                <c:pt idx="0">
                  <c:v>0.13845224249912885</c:v>
                </c:pt>
                <c:pt idx="1">
                  <c:v>0.86154775750087109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F42-4C52-AA86-712172F8C23A}"/>
            </c:ext>
          </c:extLst>
        </c:ser>
        <c:dLbls>
          <c:dLblPos val="bestFit"/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ysClr val="windowText" lastClr="000000"/>
              </a:solidFill>
              <a:latin typeface="TH SarabunPSK" panose="020B0500040200020003" pitchFamily="34" charset="-34"/>
              <a:ea typeface="+mn-ea"/>
              <a:cs typeface="TH SarabunPSK" panose="020B0500040200020003" pitchFamily="34" charset="-34"/>
            </a:defRPr>
          </a:pPr>
          <a:endParaRPr lang="th-TH"/>
        </a:p>
      </c:txPr>
    </c:legend>
    <c:plotVisOnly val="1"/>
    <c:dispBlanksAs val="gap"/>
    <c:showDLblsOverMax val="0"/>
    <c:extLst/>
  </c:chart>
  <c:txPr>
    <a:bodyPr/>
    <a:lstStyle/>
    <a:p>
      <a:pPr>
        <a:defRPr/>
      </a:pPr>
      <a:endParaRPr lang="th-TH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wrap="square" anchor="ctr" anchorCtr="0"/>
          <a:lstStyle/>
          <a:p>
            <a:pPr>
              <a:defRPr sz="1800" b="1" i="0" u="none" strike="noStrike" kern="1200" spc="0" baseline="0">
                <a:solidFill>
                  <a:sysClr val="windowText" lastClr="000000"/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r>
              <a:rPr lang="th-TH" sz="18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ผลการเบิกจ่ายภาพรวมเปรียบเทียบกับเป้าหมายไตรมาส</a:t>
            </a:r>
            <a:r>
              <a:rPr lang="th-TH" sz="1800" b="1" baseline="0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 1</a:t>
            </a:r>
            <a:endParaRPr lang="th-TH" sz="1800" b="1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endParaRPr>
          </a:p>
        </c:rich>
      </c:tx>
      <c:layout>
        <c:manualLayout>
          <c:xMode val="edge"/>
          <c:yMode val="edge"/>
          <c:x val="0.15463009214542578"/>
          <c:y val="1.94790525023559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27682748957300535"/>
          <c:y val="0.32720989316411558"/>
          <c:w val="0.56273882392787011"/>
          <c:h val="0.5608619354013006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392-41F2-B2F8-7A79333A9353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6">
                  <a:lumMod val="7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392-41F2-B2F8-7A79333A9353}"/>
              </c:ext>
            </c:extLst>
          </c:dPt>
          <c:dLbls>
            <c:dLbl>
              <c:idx val="1"/>
              <c:layout>
                <c:manualLayout>
                  <c:x val="-7.949325067323753E-17"/>
                  <c:y val="0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0" tIns="19050" rIns="38100" bIns="19050" anchor="t" anchorCtr="0">
                  <a:noAutofit/>
                </a:bodyPr>
                <a:lstStyle/>
                <a:p>
                  <a:pPr>
                    <a:defRPr sz="1600" b="1" i="0" u="none" strike="noStrike" kern="1200" baseline="0">
                      <a:solidFill>
                        <a:sysClr val="windowText" lastClr="000000"/>
                      </a:solidFill>
                      <a:latin typeface="TH SarabunPSK" panose="020B0500040200020003" pitchFamily="34" charset="-34"/>
                      <a:ea typeface="+mn-ea"/>
                      <a:cs typeface="TH SarabunPSK" panose="020B0500040200020003" pitchFamily="34" charset="-34"/>
                    </a:defRPr>
                  </a:pPr>
                  <a:endParaRPr lang="th-TH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  <c15:layout>
                    <c:manualLayout>
                      <c:w val="0.22266276900553647"/>
                      <c:h val="8.417071590441317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392-41F2-B2F8-7A79333A93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0" tIns="19050" rIns="38100" bIns="19050" anchor="t" anchorCtr="0">
                <a:spAutoFit/>
              </a:bodyPr>
              <a:lstStyle/>
              <a:p>
                <a:pPr>
                  <a:defRPr sz="1600" b="1" i="0" u="none" strike="noStrike" kern="1200" baseline="0">
                    <a:solidFill>
                      <a:sysClr val="windowText" lastClr="000000"/>
                    </a:solidFill>
                    <a:latin typeface="TH SarabunPSK" panose="020B0500040200020003" pitchFamily="34" charset="-34"/>
                    <a:ea typeface="+mn-ea"/>
                    <a:cs typeface="TH SarabunPSK" panose="020B0500040200020003" pitchFamily="34" charset="-34"/>
                  </a:defRPr>
                </a:pPr>
                <a:endParaRPr lang="th-TH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'ผลการใช้จ่าย ไตรมาส 1'!$J$14:$K$14</c:f>
              <c:strCache>
                <c:ptCount val="2"/>
                <c:pt idx="0">
                  <c:v>ผลการเบิกจ่าย</c:v>
                </c:pt>
                <c:pt idx="1">
                  <c:v>เป้าหมาย</c:v>
                </c:pt>
              </c:strCache>
            </c:strRef>
          </c:cat>
          <c:val>
            <c:numRef>
              <c:f>'ผลการใช้จ่าย ไตรมาส 1'!$J$15:$K$15</c:f>
              <c:numCache>
                <c:formatCode>0.00%</c:formatCode>
                <c:ptCount val="2"/>
                <c:pt idx="0">
                  <c:v>0.13845224249912885</c:v>
                </c:pt>
                <c:pt idx="1">
                  <c:v>0.15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92-41F2-B2F8-7A79333A935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35"/>
        <c:overlap val="-100"/>
        <c:axId val="800892080"/>
        <c:axId val="800891664"/>
      </c:barChart>
      <c:catAx>
        <c:axId val="800892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ysClr val="windowText" lastClr="000000"/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endParaRPr lang="th-TH"/>
          </a:p>
        </c:txPr>
        <c:crossAx val="800891664"/>
        <c:crosses val="autoZero"/>
        <c:auto val="1"/>
        <c:lblAlgn val="ctr"/>
        <c:lblOffset val="100"/>
        <c:noMultiLvlLbl val="0"/>
      </c:catAx>
      <c:valAx>
        <c:axId val="800891664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ysClr val="windowText" lastClr="000000"/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endParaRPr lang="th-TH"/>
          </a:p>
        </c:txPr>
        <c:crossAx val="8008920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th-TH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spc="0" baseline="0">
                <a:solidFill>
                  <a:sysClr val="windowText" lastClr="000000"/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r>
              <a:rPr lang="th-TH" sz="18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ผลการเบิกจ่ายงบประมาณ                   </a:t>
            </a:r>
            <a:r>
              <a:rPr lang="en-US" sz="18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            </a:t>
            </a:r>
            <a:r>
              <a:rPr lang="th-TH" sz="18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ณ วันที่ </a:t>
            </a:r>
            <a:r>
              <a:rPr lang="en-US" sz="18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31 </a:t>
            </a:r>
            <a:r>
              <a:rPr lang="th-TH" sz="18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มีนาคม</a:t>
            </a:r>
            <a:r>
              <a:rPr lang="th-TH" sz="1800" b="1" baseline="0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 </a:t>
            </a:r>
            <a:r>
              <a:rPr lang="en-US" sz="1800" b="1" baseline="0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256</a:t>
            </a:r>
            <a:r>
              <a:rPr lang="th-TH" sz="1800" b="1" baseline="0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8</a:t>
            </a:r>
            <a:endParaRPr lang="th-TH" sz="1800" b="1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endParaRPr>
          </a:p>
        </c:rich>
      </c:tx>
      <c:layout>
        <c:manualLayout>
          <c:xMode val="edge"/>
          <c:yMode val="edge"/>
          <c:x val="0.30958403401898438"/>
          <c:y val="4.2108580359023817E-2"/>
        </c:manualLayout>
      </c:layout>
      <c:overlay val="0"/>
      <c:spPr>
        <a:noFill/>
        <a:ln>
          <a:noFill/>
        </a:ln>
        <a:effectLst/>
      </c:sp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0501179808686582"/>
          <c:y val="0.30816818582361583"/>
          <c:w val="0.78997640382626833"/>
          <c:h val="0.47294653513866769"/>
        </c:manualLayout>
      </c:layout>
      <c:pie3DChart>
        <c:varyColors val="1"/>
        <c:ser>
          <c:idx val="1"/>
          <c:order val="0"/>
          <c:explosion val="15"/>
          <c:dPt>
            <c:idx val="0"/>
            <c:bubble3D val="0"/>
            <c:spPr>
              <a:solidFill>
                <a:srgbClr val="FF9999"/>
              </a:solidFill>
            </c:spPr>
            <c:extLst>
              <c:ext xmlns:c16="http://schemas.microsoft.com/office/drawing/2014/chart" uri="{C3380CC4-5D6E-409C-BE32-E72D297353CC}">
                <c16:uniqueId val="{00000001-B305-4B71-80EE-32F156702FB6}"/>
              </c:ext>
            </c:extLst>
          </c:dPt>
          <c:dPt>
            <c:idx val="1"/>
            <c:bubble3D val="0"/>
            <c:spPr>
              <a:solidFill>
                <a:srgbClr val="CCFF99"/>
              </a:solidFill>
            </c:spPr>
            <c:extLst>
              <c:ext xmlns:c16="http://schemas.microsoft.com/office/drawing/2014/chart" uri="{C3380CC4-5D6E-409C-BE32-E72D297353CC}">
                <c16:uniqueId val="{00000003-B305-4B71-80EE-32F156702FB6}"/>
              </c:ext>
            </c:extLst>
          </c:dPt>
          <c:dLbls>
            <c:dLbl>
              <c:idx val="0"/>
              <c:layout>
                <c:manualLayout>
                  <c:x val="4.303794970223896E-2"/>
                  <c:y val="-4.3110808214438967E-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305-4B71-80EE-32F156702FB6}"/>
                </c:ext>
              </c:extLst>
            </c:dLbl>
            <c:dLbl>
              <c:idx val="1"/>
              <c:layout>
                <c:manualLayout>
                  <c:x val="-3.7576568681243684E-2"/>
                  <c:y val="-2.3286418994194974E-3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305-4B71-80EE-32F156702FB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600" b="1">
                    <a:solidFill>
                      <a:sysClr val="windowText" lastClr="000000"/>
                    </a:solidFill>
                    <a:latin typeface="TH SarabunPSK" panose="020B0500040200020003" pitchFamily="34" charset="-34"/>
                    <a:cs typeface="TH SarabunPSK" panose="020B0500040200020003" pitchFamily="34" charset="-34"/>
                  </a:defRPr>
                </a:pPr>
                <a:endParaRPr lang="th-TH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'ผลการใช้จ่าย ไตรมาส 2'!$J$8:$K$8</c:f>
              <c:strCache>
                <c:ptCount val="2"/>
                <c:pt idx="0">
                  <c:v>ผลการเบิกจ่าย</c:v>
                </c:pt>
                <c:pt idx="1">
                  <c:v>คงเหลือ</c:v>
                </c:pt>
              </c:strCache>
            </c:strRef>
          </c:cat>
          <c:val>
            <c:numRef>
              <c:f>'ผลการใช้จ่าย ไตรมาส 2'!$J$9:$K$9</c:f>
              <c:numCache>
                <c:formatCode>0.00%</c:formatCode>
                <c:ptCount val="2"/>
                <c:pt idx="0">
                  <c:v>0.30221506717251018</c:v>
                </c:pt>
                <c:pt idx="1">
                  <c:v>0.69778493282748977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305-4B71-80EE-32F156702FB6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B305-4B71-80EE-32F156702FB6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B305-4B71-80EE-32F156702FB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h-TH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'ผลการใช้จ่าย ไตรมาส 2'!$J$8:$K$8</c:f>
              <c:strCache>
                <c:ptCount val="2"/>
                <c:pt idx="0">
                  <c:v>ผลการเบิกจ่าย</c:v>
                </c:pt>
                <c:pt idx="1">
                  <c:v>คงเหลือ</c:v>
                </c:pt>
              </c:strCache>
            </c:strRef>
          </c:cat>
          <c:val>
            <c:numRef>
              <c:f>'ผลการใช้จ่าย ไตรมาส 2'!$J$9:$K$9</c:f>
              <c:numCache>
                <c:formatCode>0.00%</c:formatCode>
                <c:ptCount val="2"/>
                <c:pt idx="0">
                  <c:v>0.30221506717251018</c:v>
                </c:pt>
                <c:pt idx="1">
                  <c:v>0.69778493282748977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B305-4B71-80EE-32F156702FB6}"/>
            </c:ext>
          </c:extLst>
        </c:ser>
        <c:dLbls>
          <c:dLblPos val="bestFit"/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ysClr val="windowText" lastClr="000000"/>
              </a:solidFill>
              <a:latin typeface="TH SarabunPSK" panose="020B0500040200020003" pitchFamily="34" charset="-34"/>
              <a:ea typeface="+mn-ea"/>
              <a:cs typeface="TH SarabunPSK" panose="020B0500040200020003" pitchFamily="34" charset="-34"/>
            </a:defRPr>
          </a:pPr>
          <a:endParaRPr lang="th-TH"/>
        </a:p>
      </c:txPr>
    </c:legend>
    <c:plotVisOnly val="1"/>
    <c:dispBlanksAs val="gap"/>
    <c:showDLblsOverMax val="0"/>
    <c:extLst/>
  </c:chart>
  <c:txPr>
    <a:bodyPr/>
    <a:lstStyle/>
    <a:p>
      <a:pPr>
        <a:defRPr/>
      </a:pPr>
      <a:endParaRPr lang="th-TH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wrap="square" anchor="ctr" anchorCtr="0"/>
          <a:lstStyle/>
          <a:p>
            <a:pPr>
              <a:defRPr sz="1800" b="1" i="0" u="none" strike="noStrike" kern="1200" spc="0" baseline="0">
                <a:solidFill>
                  <a:sysClr val="windowText" lastClr="000000"/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r>
              <a:rPr lang="th-TH" sz="18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ผลการเบิกจ่ายภาพรวมเปรียบเทียบกับเป้าหมายไตรมาส</a:t>
            </a:r>
            <a:r>
              <a:rPr lang="th-TH" sz="1800" b="1" baseline="0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 </a:t>
            </a:r>
            <a:r>
              <a:rPr lang="en-US" sz="1800" b="1" baseline="0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2</a:t>
            </a:r>
            <a:endParaRPr lang="th-TH" sz="1800" b="1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endParaRPr>
          </a:p>
        </c:rich>
      </c:tx>
      <c:layout>
        <c:manualLayout>
          <c:xMode val="edge"/>
          <c:yMode val="edge"/>
          <c:x val="0.15463009214542578"/>
          <c:y val="1.94790525023559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27682748957300535"/>
          <c:y val="0.32720989316411558"/>
          <c:w val="0.56273882392787011"/>
          <c:h val="0.5608619354013006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E6B-4285-B34E-FAD70855C83E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6">
                  <a:lumMod val="7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7E6B-4285-B34E-FAD70855C83E}"/>
              </c:ext>
            </c:extLst>
          </c:dPt>
          <c:dLbls>
            <c:dLbl>
              <c:idx val="1"/>
              <c:layout>
                <c:manualLayout>
                  <c:x val="-7.949325067323753E-17"/>
                  <c:y val="0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0" tIns="19050" rIns="38100" bIns="19050" anchor="t" anchorCtr="0">
                  <a:noAutofit/>
                </a:bodyPr>
                <a:lstStyle/>
                <a:p>
                  <a:pPr>
                    <a:defRPr sz="1600" b="1" i="0" u="none" strike="noStrike" kern="1200" baseline="0">
                      <a:solidFill>
                        <a:sysClr val="windowText" lastClr="000000"/>
                      </a:solidFill>
                      <a:latin typeface="TH SarabunPSK" panose="020B0500040200020003" pitchFamily="34" charset="-34"/>
                      <a:ea typeface="+mn-ea"/>
                      <a:cs typeface="TH SarabunPSK" panose="020B0500040200020003" pitchFamily="34" charset="-34"/>
                    </a:defRPr>
                  </a:pPr>
                  <a:endParaRPr lang="th-TH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  <c15:layout>
                    <c:manualLayout>
                      <c:w val="0.22266276900553647"/>
                      <c:h val="8.417071590441317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7E6B-4285-B34E-FAD70855C83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0" tIns="19050" rIns="38100" bIns="19050" anchor="t" anchorCtr="0">
                <a:spAutoFit/>
              </a:bodyPr>
              <a:lstStyle/>
              <a:p>
                <a:pPr>
                  <a:defRPr sz="1600" b="1" i="0" u="none" strike="noStrike" kern="1200" baseline="0">
                    <a:solidFill>
                      <a:sysClr val="windowText" lastClr="000000"/>
                    </a:solidFill>
                    <a:latin typeface="TH SarabunPSK" panose="020B0500040200020003" pitchFamily="34" charset="-34"/>
                    <a:ea typeface="+mn-ea"/>
                    <a:cs typeface="TH SarabunPSK" panose="020B0500040200020003" pitchFamily="34" charset="-34"/>
                  </a:defRPr>
                </a:pPr>
                <a:endParaRPr lang="th-TH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'ผลการใช้จ่าย ไตรมาส 2'!$J$14:$K$14</c:f>
              <c:strCache>
                <c:ptCount val="2"/>
                <c:pt idx="0">
                  <c:v>ผลการเบิกจ่าย</c:v>
                </c:pt>
                <c:pt idx="1">
                  <c:v>เป้าหมาย</c:v>
                </c:pt>
              </c:strCache>
            </c:strRef>
          </c:cat>
          <c:val>
            <c:numRef>
              <c:f>'ผลการใช้จ่าย ไตรมาส 2'!$J$15:$K$15</c:f>
              <c:numCache>
                <c:formatCode>0.00%</c:formatCode>
                <c:ptCount val="2"/>
                <c:pt idx="0">
                  <c:v>0.30221506717251018</c:v>
                </c:pt>
                <c:pt idx="1">
                  <c:v>0.4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E6B-4285-B34E-FAD70855C83E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35"/>
        <c:overlap val="-100"/>
        <c:axId val="800892080"/>
        <c:axId val="800891664"/>
      </c:barChart>
      <c:catAx>
        <c:axId val="800892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ysClr val="windowText" lastClr="000000"/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endParaRPr lang="th-TH"/>
          </a:p>
        </c:txPr>
        <c:crossAx val="800891664"/>
        <c:crosses val="autoZero"/>
        <c:auto val="1"/>
        <c:lblAlgn val="ctr"/>
        <c:lblOffset val="100"/>
        <c:noMultiLvlLbl val="0"/>
      </c:catAx>
      <c:valAx>
        <c:axId val="800891664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ysClr val="windowText" lastClr="000000"/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endParaRPr lang="th-TH"/>
          </a:p>
        </c:txPr>
        <c:crossAx val="8008920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th-TH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spc="0" baseline="0">
                <a:solidFill>
                  <a:sysClr val="windowText" lastClr="000000"/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r>
              <a:rPr lang="th-TH" sz="18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ผลการเบิกจ่ายงบประมาณ                   </a:t>
            </a:r>
            <a:r>
              <a:rPr lang="en-US" sz="18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            </a:t>
            </a:r>
            <a:r>
              <a:rPr lang="th-TH" sz="18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ณ วันที่ 30 มิถุนายน </a:t>
            </a:r>
            <a:r>
              <a:rPr lang="th-TH" sz="1800" b="1" baseline="0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2566</a:t>
            </a:r>
            <a:endParaRPr lang="th-TH" sz="1800" b="1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endParaRPr>
          </a:p>
        </c:rich>
      </c:tx>
      <c:layout>
        <c:manualLayout>
          <c:xMode val="edge"/>
          <c:yMode val="edge"/>
          <c:x val="0.30958403401898438"/>
          <c:y val="4.2108580359023817E-2"/>
        </c:manualLayout>
      </c:layout>
      <c:overlay val="0"/>
      <c:spPr>
        <a:noFill/>
        <a:ln>
          <a:noFill/>
        </a:ln>
        <a:effectLst/>
      </c:sp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0501179808686582"/>
          <c:y val="0.30816818582361583"/>
          <c:w val="0.78997640382626833"/>
          <c:h val="0.47294653513866769"/>
        </c:manualLayout>
      </c:layout>
      <c:pie3DChart>
        <c:varyColors val="1"/>
        <c:ser>
          <c:idx val="1"/>
          <c:order val="0"/>
          <c:explosion val="15"/>
          <c:dPt>
            <c:idx val="0"/>
            <c:bubble3D val="0"/>
            <c:spPr>
              <a:solidFill>
                <a:srgbClr val="FF9999"/>
              </a:solidFill>
            </c:spPr>
            <c:extLst>
              <c:ext xmlns:c16="http://schemas.microsoft.com/office/drawing/2014/chart" uri="{C3380CC4-5D6E-409C-BE32-E72D297353CC}">
                <c16:uniqueId val="{00000001-6001-49E8-B318-AD5A97B4BE0B}"/>
              </c:ext>
            </c:extLst>
          </c:dPt>
          <c:dPt>
            <c:idx val="1"/>
            <c:bubble3D val="0"/>
            <c:spPr>
              <a:solidFill>
                <a:srgbClr val="CCFF99"/>
              </a:solidFill>
            </c:spPr>
            <c:extLst>
              <c:ext xmlns:c16="http://schemas.microsoft.com/office/drawing/2014/chart" uri="{C3380CC4-5D6E-409C-BE32-E72D297353CC}">
                <c16:uniqueId val="{00000003-6001-49E8-B318-AD5A97B4BE0B}"/>
              </c:ext>
            </c:extLst>
          </c:dPt>
          <c:dLbls>
            <c:dLbl>
              <c:idx val="0"/>
              <c:layout>
                <c:manualLayout>
                  <c:x val="4.303794970223896E-2"/>
                  <c:y val="-4.3110808214438967E-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001-49E8-B318-AD5A97B4BE0B}"/>
                </c:ext>
              </c:extLst>
            </c:dLbl>
            <c:dLbl>
              <c:idx val="1"/>
              <c:layout>
                <c:manualLayout>
                  <c:x val="-3.7576568681243684E-2"/>
                  <c:y val="-2.3286418994194974E-3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001-49E8-B318-AD5A97B4BE0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600" b="1">
                    <a:solidFill>
                      <a:sysClr val="windowText" lastClr="000000"/>
                    </a:solidFill>
                    <a:latin typeface="TH SarabunPSK" panose="020B0500040200020003" pitchFamily="34" charset="-34"/>
                    <a:cs typeface="TH SarabunPSK" panose="020B0500040200020003" pitchFamily="34" charset="-34"/>
                  </a:defRPr>
                </a:pPr>
                <a:endParaRPr lang="th-TH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'ผลการใช้จ่าย ไตรมาส 3'!$J$8:$K$8</c:f>
              <c:strCache>
                <c:ptCount val="2"/>
                <c:pt idx="0">
                  <c:v>ผลการเบิกจ่าย</c:v>
                </c:pt>
                <c:pt idx="1">
                  <c:v>คงเหลือ</c:v>
                </c:pt>
              </c:strCache>
            </c:strRef>
          </c:cat>
          <c:val>
            <c:numRef>
              <c:f>'ผลการใช้จ่าย ไตรมาส 3'!$J$9:$K$9</c:f>
              <c:numCache>
                <c:formatCode>0.00%</c:formatCode>
                <c:ptCount val="2"/>
                <c:pt idx="0">
                  <c:v>0.58288911682916789</c:v>
                </c:pt>
                <c:pt idx="1">
                  <c:v>0.41711088317083206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001-49E8-B318-AD5A97B4BE0B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6001-49E8-B318-AD5A97B4BE0B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6001-49E8-B318-AD5A97B4BE0B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h-TH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'ผลการใช้จ่าย ไตรมาส 3'!$J$8:$K$8</c:f>
              <c:strCache>
                <c:ptCount val="2"/>
                <c:pt idx="0">
                  <c:v>ผลการเบิกจ่าย</c:v>
                </c:pt>
                <c:pt idx="1">
                  <c:v>คงเหลือ</c:v>
                </c:pt>
              </c:strCache>
            </c:strRef>
          </c:cat>
          <c:val>
            <c:numRef>
              <c:f>'ผลการใช้จ่าย ไตรมาส 3'!$J$9:$K$9</c:f>
              <c:numCache>
                <c:formatCode>0.00%</c:formatCode>
                <c:ptCount val="2"/>
                <c:pt idx="0">
                  <c:v>0.58288911682916789</c:v>
                </c:pt>
                <c:pt idx="1">
                  <c:v>0.41711088317083206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001-49E8-B318-AD5A97B4BE0B}"/>
            </c:ext>
          </c:extLst>
        </c:ser>
        <c:dLbls>
          <c:dLblPos val="bestFit"/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ysClr val="windowText" lastClr="000000"/>
              </a:solidFill>
              <a:latin typeface="TH SarabunPSK" panose="020B0500040200020003" pitchFamily="34" charset="-34"/>
              <a:ea typeface="+mn-ea"/>
              <a:cs typeface="TH SarabunPSK" panose="020B0500040200020003" pitchFamily="34" charset="-34"/>
            </a:defRPr>
          </a:pPr>
          <a:endParaRPr lang="th-TH"/>
        </a:p>
      </c:txPr>
    </c:legend>
    <c:plotVisOnly val="1"/>
    <c:dispBlanksAs val="gap"/>
    <c:showDLblsOverMax val="0"/>
    <c:extLst/>
  </c:chart>
  <c:txPr>
    <a:bodyPr/>
    <a:lstStyle/>
    <a:p>
      <a:pPr>
        <a:defRPr/>
      </a:pPr>
      <a:endParaRPr lang="th-TH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wrap="square" anchor="ctr" anchorCtr="0"/>
          <a:lstStyle/>
          <a:p>
            <a:pPr>
              <a:defRPr sz="1800" b="1" i="0" u="none" strike="noStrike" kern="1200" spc="0" baseline="0">
                <a:solidFill>
                  <a:sysClr val="windowText" lastClr="000000"/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r>
              <a:rPr lang="th-TH" sz="18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ผลการเบิกจ่ายภาพรวมเปรียบเทียบกับเป้าหมายไตรมาส </a:t>
            </a:r>
            <a:r>
              <a:rPr lang="th-TH" sz="1800" b="1" baseline="0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3</a:t>
            </a:r>
            <a:endParaRPr lang="th-TH" sz="1800" b="1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endParaRPr>
          </a:p>
        </c:rich>
      </c:tx>
      <c:layout>
        <c:manualLayout>
          <c:xMode val="edge"/>
          <c:yMode val="edge"/>
          <c:x val="0.15463009214542578"/>
          <c:y val="1.94790525023559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27682748957300535"/>
          <c:y val="0.32720989316411558"/>
          <c:w val="0.56273882392787011"/>
          <c:h val="0.5608619354013006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D31-4478-B653-ADCB546FA805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6">
                  <a:lumMod val="7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4D31-4478-B653-ADCB546FA805}"/>
              </c:ext>
            </c:extLst>
          </c:dPt>
          <c:dLbls>
            <c:dLbl>
              <c:idx val="1"/>
              <c:layout>
                <c:manualLayout>
                  <c:x val="-7.949325067323753E-17"/>
                  <c:y val="0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0" tIns="19050" rIns="38100" bIns="19050" anchor="t" anchorCtr="0">
                  <a:noAutofit/>
                </a:bodyPr>
                <a:lstStyle/>
                <a:p>
                  <a:pPr>
                    <a:defRPr sz="1600" b="1" i="0" u="none" strike="noStrike" kern="1200" baseline="0">
                      <a:solidFill>
                        <a:sysClr val="windowText" lastClr="000000"/>
                      </a:solidFill>
                      <a:latin typeface="TH SarabunPSK" panose="020B0500040200020003" pitchFamily="34" charset="-34"/>
                      <a:ea typeface="+mn-ea"/>
                      <a:cs typeface="TH SarabunPSK" panose="020B0500040200020003" pitchFamily="34" charset="-34"/>
                    </a:defRPr>
                  </a:pPr>
                  <a:endParaRPr lang="th-TH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  <c15:layout>
                    <c:manualLayout>
                      <c:w val="0.22266276900553647"/>
                      <c:h val="8.417071590441317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4D31-4478-B653-ADCB546FA80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0" tIns="19050" rIns="38100" bIns="19050" anchor="t" anchorCtr="0">
                <a:spAutoFit/>
              </a:bodyPr>
              <a:lstStyle/>
              <a:p>
                <a:pPr>
                  <a:defRPr sz="1600" b="1" i="0" u="none" strike="noStrike" kern="1200" baseline="0">
                    <a:solidFill>
                      <a:sysClr val="windowText" lastClr="000000"/>
                    </a:solidFill>
                    <a:latin typeface="TH SarabunPSK" panose="020B0500040200020003" pitchFamily="34" charset="-34"/>
                    <a:ea typeface="+mn-ea"/>
                    <a:cs typeface="TH SarabunPSK" panose="020B0500040200020003" pitchFamily="34" charset="-34"/>
                  </a:defRPr>
                </a:pPr>
                <a:endParaRPr lang="th-TH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'ผลการใช้จ่าย ไตรมาส 3'!$J$15:$K$15</c:f>
              <c:strCache>
                <c:ptCount val="2"/>
                <c:pt idx="0">
                  <c:v>ผลการเบิกจ่าย</c:v>
                </c:pt>
                <c:pt idx="1">
                  <c:v>เป้าหมาย</c:v>
                </c:pt>
              </c:strCache>
            </c:strRef>
          </c:cat>
          <c:val>
            <c:numRef>
              <c:f>'ผลการใช้จ่าย ไตรมาส 3'!$J$16:$K$16</c:f>
              <c:numCache>
                <c:formatCode>0.00%</c:formatCode>
                <c:ptCount val="2"/>
                <c:pt idx="0">
                  <c:v>0.58288911682916789</c:v>
                </c:pt>
                <c:pt idx="1">
                  <c:v>0.77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D31-4478-B653-ADCB546FA805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35"/>
        <c:overlap val="-100"/>
        <c:axId val="800892080"/>
        <c:axId val="800891664"/>
      </c:barChart>
      <c:catAx>
        <c:axId val="800892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ysClr val="windowText" lastClr="000000"/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endParaRPr lang="th-TH"/>
          </a:p>
        </c:txPr>
        <c:crossAx val="800891664"/>
        <c:crosses val="autoZero"/>
        <c:auto val="1"/>
        <c:lblAlgn val="ctr"/>
        <c:lblOffset val="100"/>
        <c:noMultiLvlLbl val="0"/>
      </c:catAx>
      <c:valAx>
        <c:axId val="800891664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ysClr val="windowText" lastClr="000000"/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endParaRPr lang="th-TH"/>
          </a:p>
        </c:txPr>
        <c:crossAx val="8008920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th-TH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spc="0" baseline="0">
                <a:solidFill>
                  <a:sysClr val="windowText" lastClr="000000"/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r>
              <a:rPr lang="th-TH" sz="18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ผลการเบิกจ่ายงบประมาณ                   </a:t>
            </a:r>
            <a:r>
              <a:rPr lang="en-US" sz="18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            </a:t>
            </a:r>
            <a:r>
              <a:rPr lang="th-TH" sz="18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ณ วันที่ 30 กันยายน </a:t>
            </a:r>
            <a:r>
              <a:rPr lang="th-TH" sz="1800" b="1" baseline="0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2566</a:t>
            </a:r>
            <a:endParaRPr lang="th-TH" sz="1800" b="1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endParaRPr>
          </a:p>
        </c:rich>
      </c:tx>
      <c:layout>
        <c:manualLayout>
          <c:xMode val="edge"/>
          <c:yMode val="edge"/>
          <c:x val="0.30958403401898438"/>
          <c:y val="4.2108580359023817E-2"/>
        </c:manualLayout>
      </c:layout>
      <c:overlay val="0"/>
      <c:spPr>
        <a:noFill/>
        <a:ln>
          <a:noFill/>
        </a:ln>
        <a:effectLst/>
      </c:sp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0501179808686582"/>
          <c:y val="0.30816818582361583"/>
          <c:w val="0.78997640382626833"/>
          <c:h val="0.47294653513866769"/>
        </c:manualLayout>
      </c:layout>
      <c:pie3DChart>
        <c:varyColors val="1"/>
        <c:ser>
          <c:idx val="1"/>
          <c:order val="0"/>
          <c:explosion val="15"/>
          <c:dPt>
            <c:idx val="0"/>
            <c:bubble3D val="0"/>
            <c:spPr>
              <a:solidFill>
                <a:srgbClr val="FF9999"/>
              </a:solidFill>
            </c:spPr>
            <c:extLst>
              <c:ext xmlns:c16="http://schemas.microsoft.com/office/drawing/2014/chart" uri="{C3380CC4-5D6E-409C-BE32-E72D297353CC}">
                <c16:uniqueId val="{00000001-670D-491D-9BEF-526C5577C241}"/>
              </c:ext>
            </c:extLst>
          </c:dPt>
          <c:dPt>
            <c:idx val="1"/>
            <c:bubble3D val="0"/>
            <c:spPr>
              <a:solidFill>
                <a:srgbClr val="CCFF99"/>
              </a:solidFill>
            </c:spPr>
            <c:extLst>
              <c:ext xmlns:c16="http://schemas.microsoft.com/office/drawing/2014/chart" uri="{C3380CC4-5D6E-409C-BE32-E72D297353CC}">
                <c16:uniqueId val="{00000003-670D-491D-9BEF-526C5577C241}"/>
              </c:ext>
            </c:extLst>
          </c:dPt>
          <c:dLbls>
            <c:dLbl>
              <c:idx val="0"/>
              <c:layout>
                <c:manualLayout>
                  <c:x val="4.303794970223896E-2"/>
                  <c:y val="-4.3110808214438967E-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70D-491D-9BEF-526C5577C241}"/>
                </c:ext>
              </c:extLst>
            </c:dLbl>
            <c:dLbl>
              <c:idx val="1"/>
              <c:layout>
                <c:manualLayout>
                  <c:x val="-3.7576568681243684E-2"/>
                  <c:y val="-2.3286418994194974E-3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70D-491D-9BEF-526C5577C2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600" b="1">
                    <a:solidFill>
                      <a:sysClr val="windowText" lastClr="000000"/>
                    </a:solidFill>
                    <a:latin typeface="TH SarabunPSK" panose="020B0500040200020003" pitchFamily="34" charset="-34"/>
                    <a:cs typeface="TH SarabunPSK" panose="020B0500040200020003" pitchFamily="34" charset="-34"/>
                  </a:defRPr>
                </a:pPr>
                <a:endParaRPr lang="th-TH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'ผลการใช้จ่าย ไตรมาส 4'!$J$8:$K$8</c:f>
              <c:strCache>
                <c:ptCount val="2"/>
                <c:pt idx="0">
                  <c:v>ผลการเบิกจ่าย</c:v>
                </c:pt>
                <c:pt idx="1">
                  <c:v>คงเหลือ</c:v>
                </c:pt>
              </c:strCache>
            </c:strRef>
          </c:cat>
          <c:val>
            <c:numRef>
              <c:f>'ผลการใช้จ่าย ไตรมาส 4'!$J$9:$K$9</c:f>
              <c:numCache>
                <c:formatCode>0.00%</c:formatCode>
                <c:ptCount val="2"/>
                <c:pt idx="0">
                  <c:v>0.95516226535696991</c:v>
                </c:pt>
                <c:pt idx="1">
                  <c:v>4.4837734643030161E-2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70D-491D-9BEF-526C5577C241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670D-491D-9BEF-526C5577C241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670D-491D-9BEF-526C5577C24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h-TH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'ผลการใช้จ่าย ไตรมาส 4'!$J$8:$K$8</c:f>
              <c:strCache>
                <c:ptCount val="2"/>
                <c:pt idx="0">
                  <c:v>ผลการเบิกจ่าย</c:v>
                </c:pt>
                <c:pt idx="1">
                  <c:v>คงเหลือ</c:v>
                </c:pt>
              </c:strCache>
            </c:strRef>
          </c:cat>
          <c:val>
            <c:numRef>
              <c:f>'ผลการใช้จ่าย ไตรมาส 4'!$J$9:$K$9</c:f>
              <c:numCache>
                <c:formatCode>0.00%</c:formatCode>
                <c:ptCount val="2"/>
                <c:pt idx="0">
                  <c:v>0.95516226535696991</c:v>
                </c:pt>
                <c:pt idx="1">
                  <c:v>4.4837734643030161E-2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70D-491D-9BEF-526C5577C241}"/>
            </c:ext>
          </c:extLst>
        </c:ser>
        <c:dLbls>
          <c:dLblPos val="bestFit"/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ysClr val="windowText" lastClr="000000"/>
              </a:solidFill>
              <a:latin typeface="TH SarabunPSK" panose="020B0500040200020003" pitchFamily="34" charset="-34"/>
              <a:ea typeface="+mn-ea"/>
              <a:cs typeface="TH SarabunPSK" panose="020B0500040200020003" pitchFamily="34" charset="-34"/>
            </a:defRPr>
          </a:pPr>
          <a:endParaRPr lang="th-TH"/>
        </a:p>
      </c:txPr>
    </c:legend>
    <c:plotVisOnly val="1"/>
    <c:dispBlanksAs val="gap"/>
    <c:showDLblsOverMax val="0"/>
    <c:extLst/>
  </c:chart>
  <c:txPr>
    <a:bodyPr/>
    <a:lstStyle/>
    <a:p>
      <a:pPr>
        <a:defRPr/>
      </a:pPr>
      <a:endParaRPr lang="th-TH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wrap="square" anchor="ctr" anchorCtr="0"/>
          <a:lstStyle/>
          <a:p>
            <a:pPr>
              <a:defRPr sz="1800" b="1" i="0" u="none" strike="noStrike" kern="1200" spc="0" baseline="0">
                <a:solidFill>
                  <a:sysClr val="windowText" lastClr="000000"/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r>
              <a:rPr lang="th-TH" sz="1800" b="1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ผลการเบิกจ่ายภาพรวมเปรียบเทียบกับเป้าหมายไตรมาส </a:t>
            </a:r>
            <a:r>
              <a:rPr lang="th-TH" sz="1800" b="1" baseline="0">
                <a:solidFill>
                  <a:sysClr val="windowText" lastClr="000000"/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4</a:t>
            </a:r>
            <a:endParaRPr lang="th-TH" sz="1800" b="1">
              <a:solidFill>
                <a:sysClr val="windowText" lastClr="000000"/>
              </a:solidFill>
              <a:latin typeface="TH SarabunPSK" panose="020B0500040200020003" pitchFamily="34" charset="-34"/>
              <a:cs typeface="TH SarabunPSK" panose="020B0500040200020003" pitchFamily="34" charset="-34"/>
            </a:endParaRPr>
          </a:p>
        </c:rich>
      </c:tx>
      <c:layout>
        <c:manualLayout>
          <c:xMode val="edge"/>
          <c:yMode val="edge"/>
          <c:x val="0.15463009214542578"/>
          <c:y val="1.94790525023559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27682748957300535"/>
          <c:y val="0.32720989316411558"/>
          <c:w val="0.56273882392787011"/>
          <c:h val="0.5608619354013006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A18-4BC3-BA58-1C690ABCA1E9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6">
                  <a:lumMod val="7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A18-4BC3-BA58-1C690ABCA1E9}"/>
              </c:ext>
            </c:extLst>
          </c:dPt>
          <c:dLbls>
            <c:dLbl>
              <c:idx val="1"/>
              <c:layout>
                <c:manualLayout>
                  <c:x val="-7.949325067323753E-17"/>
                  <c:y val="0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0" tIns="19050" rIns="38100" bIns="19050" anchor="t" anchorCtr="0">
                  <a:noAutofit/>
                </a:bodyPr>
                <a:lstStyle/>
                <a:p>
                  <a:pPr>
                    <a:defRPr sz="1600" b="1" i="0" u="none" strike="noStrike" kern="1200" baseline="0">
                      <a:solidFill>
                        <a:sysClr val="windowText" lastClr="000000"/>
                      </a:solidFill>
                      <a:latin typeface="TH SarabunPSK" panose="020B0500040200020003" pitchFamily="34" charset="-34"/>
                      <a:ea typeface="+mn-ea"/>
                      <a:cs typeface="TH SarabunPSK" panose="020B0500040200020003" pitchFamily="34" charset="-34"/>
                    </a:defRPr>
                  </a:pPr>
                  <a:endParaRPr lang="th-TH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ect">
                      <a:avLst/>
                    </a:prstGeom>
                  </c15:spPr>
                  <c15:layout>
                    <c:manualLayout>
                      <c:w val="0.22266276900553647"/>
                      <c:h val="8.417071590441317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A18-4BC3-BA58-1C690ABCA1E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0" tIns="19050" rIns="38100" bIns="19050" anchor="t" anchorCtr="0">
                <a:spAutoFit/>
              </a:bodyPr>
              <a:lstStyle/>
              <a:p>
                <a:pPr>
                  <a:defRPr sz="1600" b="1" i="0" u="none" strike="noStrike" kern="1200" baseline="0">
                    <a:solidFill>
                      <a:sysClr val="windowText" lastClr="000000"/>
                    </a:solidFill>
                    <a:latin typeface="TH SarabunPSK" panose="020B0500040200020003" pitchFamily="34" charset="-34"/>
                    <a:ea typeface="+mn-ea"/>
                    <a:cs typeface="TH SarabunPSK" panose="020B0500040200020003" pitchFamily="34" charset="-34"/>
                  </a:defRPr>
                </a:pPr>
                <a:endParaRPr lang="th-TH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ect">
                    <a:avLst/>
                  </a:prstGeom>
                </c15:spPr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'ผลการใช้จ่าย ไตรมาส 4'!$J$15:$K$15</c:f>
              <c:strCache>
                <c:ptCount val="2"/>
                <c:pt idx="0">
                  <c:v>ผลการเบิกจ่าย</c:v>
                </c:pt>
                <c:pt idx="1">
                  <c:v>เป้าหมาย</c:v>
                </c:pt>
              </c:strCache>
            </c:strRef>
          </c:cat>
          <c:val>
            <c:numRef>
              <c:f>'ผลการใช้จ่าย ไตรมาส 4'!$J$16:$K$16</c:f>
              <c:numCache>
                <c:formatCode>0.00%</c:formatCode>
                <c:ptCount val="2"/>
                <c:pt idx="0">
                  <c:v>0.95516226535696991</c:v>
                </c:pt>
                <c:pt idx="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A18-4BC3-BA58-1C690ABCA1E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35"/>
        <c:overlap val="-100"/>
        <c:axId val="800892080"/>
        <c:axId val="800891664"/>
      </c:barChart>
      <c:catAx>
        <c:axId val="800892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ysClr val="windowText" lastClr="000000"/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endParaRPr lang="th-TH"/>
          </a:p>
        </c:txPr>
        <c:crossAx val="800891664"/>
        <c:crosses val="autoZero"/>
        <c:auto val="1"/>
        <c:lblAlgn val="ctr"/>
        <c:lblOffset val="100"/>
        <c:noMultiLvlLbl val="0"/>
      </c:catAx>
      <c:valAx>
        <c:axId val="800891664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ysClr val="windowText" lastClr="000000"/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endParaRPr lang="th-TH"/>
          </a:p>
        </c:txPr>
        <c:crossAx val="80089208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th-TH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261936</xdr:colOff>
      <xdr:row>20</xdr:row>
      <xdr:rowOff>11904</xdr:rowOff>
    </xdr:from>
    <xdr:to>
      <xdr:col>4</xdr:col>
      <xdr:colOff>214313</xdr:colOff>
      <xdr:row>31</xdr:row>
      <xdr:rowOff>11905</xdr:rowOff>
    </xdr:to>
    <xdr:graphicFrame macro="">
      <xdr:nvGraphicFramePr>
        <xdr:cNvPr id="2" name="แผนภูมิ 1">
          <a:extLst>
            <a:ext uri="{FF2B5EF4-FFF2-40B4-BE49-F238E27FC236}">
              <a16:creationId xmlns:a16="http://schemas.microsoft.com/office/drawing/2014/main" id="{8C9B3D85-37DC-9706-EC18-F6A50D71A0F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642941</xdr:colOff>
      <xdr:row>19</xdr:row>
      <xdr:rowOff>250031</xdr:rowOff>
    </xdr:from>
    <xdr:to>
      <xdr:col>6</xdr:col>
      <xdr:colOff>1345406</xdr:colOff>
      <xdr:row>31</xdr:row>
      <xdr:rowOff>23812</xdr:rowOff>
    </xdr:to>
    <xdr:graphicFrame macro="">
      <xdr:nvGraphicFramePr>
        <xdr:cNvPr id="4" name="แผนภูมิ 3">
          <a:extLst>
            <a:ext uri="{FF2B5EF4-FFF2-40B4-BE49-F238E27FC236}">
              <a16:creationId xmlns:a16="http://schemas.microsoft.com/office/drawing/2014/main" id="{5973B84C-46D6-3C9A-35D6-1F0773C585B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-1</xdr:colOff>
      <xdr:row>15</xdr:row>
      <xdr:rowOff>190501</xdr:rowOff>
    </xdr:from>
    <xdr:to>
      <xdr:col>7</xdr:col>
      <xdr:colOff>0</xdr:colOff>
      <xdr:row>31</xdr:row>
      <xdr:rowOff>154782</xdr:rowOff>
    </xdr:to>
    <xdr:sp macro="" textlink="">
      <xdr:nvSpPr>
        <xdr:cNvPr id="9" name="สี่เหลี่ยมผืนผ้า 8">
          <a:extLst>
            <a:ext uri="{FF2B5EF4-FFF2-40B4-BE49-F238E27FC236}">
              <a16:creationId xmlns:a16="http://schemas.microsoft.com/office/drawing/2014/main" id="{960A00BE-350E-479F-8E7D-867C9CAB2302}"/>
            </a:ext>
          </a:extLst>
        </xdr:cNvPr>
        <xdr:cNvSpPr/>
      </xdr:nvSpPr>
      <xdr:spPr>
        <a:xfrm>
          <a:off x="2405062" y="4845845"/>
          <a:ext cx="9001126" cy="4214812"/>
        </a:xfrm>
        <a:prstGeom prst="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261936</xdr:colOff>
      <xdr:row>20</xdr:row>
      <xdr:rowOff>11904</xdr:rowOff>
    </xdr:from>
    <xdr:to>
      <xdr:col>4</xdr:col>
      <xdr:colOff>214313</xdr:colOff>
      <xdr:row>31</xdr:row>
      <xdr:rowOff>11905</xdr:rowOff>
    </xdr:to>
    <xdr:graphicFrame macro="">
      <xdr:nvGraphicFramePr>
        <xdr:cNvPr id="2" name="แผนภูมิ 1">
          <a:extLst>
            <a:ext uri="{FF2B5EF4-FFF2-40B4-BE49-F238E27FC236}">
              <a16:creationId xmlns:a16="http://schemas.microsoft.com/office/drawing/2014/main" id="{FD002ACC-AB8C-4BB6-A766-60F3D5FC594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642941</xdr:colOff>
      <xdr:row>19</xdr:row>
      <xdr:rowOff>250031</xdr:rowOff>
    </xdr:from>
    <xdr:to>
      <xdr:col>6</xdr:col>
      <xdr:colOff>1345406</xdr:colOff>
      <xdr:row>31</xdr:row>
      <xdr:rowOff>23812</xdr:rowOff>
    </xdr:to>
    <xdr:graphicFrame macro="">
      <xdr:nvGraphicFramePr>
        <xdr:cNvPr id="3" name="แผนภูมิ 2">
          <a:extLst>
            <a:ext uri="{FF2B5EF4-FFF2-40B4-BE49-F238E27FC236}">
              <a16:creationId xmlns:a16="http://schemas.microsoft.com/office/drawing/2014/main" id="{9BCD3B5C-FB81-40A4-AA3D-459B1F9DF7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-1</xdr:colOff>
      <xdr:row>15</xdr:row>
      <xdr:rowOff>190501</xdr:rowOff>
    </xdr:from>
    <xdr:to>
      <xdr:col>7</xdr:col>
      <xdr:colOff>0</xdr:colOff>
      <xdr:row>31</xdr:row>
      <xdr:rowOff>154782</xdr:rowOff>
    </xdr:to>
    <xdr:sp macro="" textlink="">
      <xdr:nvSpPr>
        <xdr:cNvPr id="4" name="สี่เหลี่ยมผืนผ้า 3">
          <a:extLst>
            <a:ext uri="{FF2B5EF4-FFF2-40B4-BE49-F238E27FC236}">
              <a16:creationId xmlns:a16="http://schemas.microsoft.com/office/drawing/2014/main" id="{6A1865D6-9E44-4FB5-8FA2-6DB1F691F4EF}"/>
            </a:ext>
          </a:extLst>
        </xdr:cNvPr>
        <xdr:cNvSpPr/>
      </xdr:nvSpPr>
      <xdr:spPr>
        <a:xfrm>
          <a:off x="2400299" y="4886326"/>
          <a:ext cx="9001126" cy="4279106"/>
        </a:xfrm>
        <a:prstGeom prst="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261936</xdr:colOff>
      <xdr:row>21</xdr:row>
      <xdr:rowOff>11904</xdr:rowOff>
    </xdr:from>
    <xdr:to>
      <xdr:col>4</xdr:col>
      <xdr:colOff>214313</xdr:colOff>
      <xdr:row>32</xdr:row>
      <xdr:rowOff>11905</xdr:rowOff>
    </xdr:to>
    <xdr:graphicFrame macro="">
      <xdr:nvGraphicFramePr>
        <xdr:cNvPr id="2" name="แผนภูมิ 1">
          <a:extLst>
            <a:ext uri="{FF2B5EF4-FFF2-40B4-BE49-F238E27FC236}">
              <a16:creationId xmlns:a16="http://schemas.microsoft.com/office/drawing/2014/main" id="{E2D15FC2-5C44-4D75-88F6-AD745138BCE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642941</xdr:colOff>
      <xdr:row>20</xdr:row>
      <xdr:rowOff>250031</xdr:rowOff>
    </xdr:from>
    <xdr:to>
      <xdr:col>6</xdr:col>
      <xdr:colOff>1345406</xdr:colOff>
      <xdr:row>32</xdr:row>
      <xdr:rowOff>23812</xdr:rowOff>
    </xdr:to>
    <xdr:graphicFrame macro="">
      <xdr:nvGraphicFramePr>
        <xdr:cNvPr id="3" name="แผนภูมิ 2">
          <a:extLst>
            <a:ext uri="{FF2B5EF4-FFF2-40B4-BE49-F238E27FC236}">
              <a16:creationId xmlns:a16="http://schemas.microsoft.com/office/drawing/2014/main" id="{C8AE1664-59B8-40C6-8413-D749660D89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-1</xdr:colOff>
      <xdr:row>16</xdr:row>
      <xdr:rowOff>190501</xdr:rowOff>
    </xdr:from>
    <xdr:to>
      <xdr:col>7</xdr:col>
      <xdr:colOff>0</xdr:colOff>
      <xdr:row>32</xdr:row>
      <xdr:rowOff>154782</xdr:rowOff>
    </xdr:to>
    <xdr:sp macro="" textlink="">
      <xdr:nvSpPr>
        <xdr:cNvPr id="4" name="สี่เหลี่ยมผืนผ้า 3">
          <a:extLst>
            <a:ext uri="{FF2B5EF4-FFF2-40B4-BE49-F238E27FC236}">
              <a16:creationId xmlns:a16="http://schemas.microsoft.com/office/drawing/2014/main" id="{AE4EC026-1D13-43A0-8D7F-3B25AAE8DACE}"/>
            </a:ext>
          </a:extLst>
        </xdr:cNvPr>
        <xdr:cNvSpPr/>
      </xdr:nvSpPr>
      <xdr:spPr>
        <a:xfrm>
          <a:off x="2400299" y="4886326"/>
          <a:ext cx="9001126" cy="4279106"/>
        </a:xfrm>
        <a:prstGeom prst="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261936</xdr:colOff>
      <xdr:row>21</xdr:row>
      <xdr:rowOff>11904</xdr:rowOff>
    </xdr:from>
    <xdr:to>
      <xdr:col>4</xdr:col>
      <xdr:colOff>214313</xdr:colOff>
      <xdr:row>32</xdr:row>
      <xdr:rowOff>11905</xdr:rowOff>
    </xdr:to>
    <xdr:graphicFrame macro="">
      <xdr:nvGraphicFramePr>
        <xdr:cNvPr id="2" name="แผนภูมิ 1">
          <a:extLst>
            <a:ext uri="{FF2B5EF4-FFF2-40B4-BE49-F238E27FC236}">
              <a16:creationId xmlns:a16="http://schemas.microsoft.com/office/drawing/2014/main" id="{E89855F5-023A-4CD8-B3FC-DA66AC6D9DA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642941</xdr:colOff>
      <xdr:row>20</xdr:row>
      <xdr:rowOff>250031</xdr:rowOff>
    </xdr:from>
    <xdr:to>
      <xdr:col>6</xdr:col>
      <xdr:colOff>1345406</xdr:colOff>
      <xdr:row>32</xdr:row>
      <xdr:rowOff>23812</xdr:rowOff>
    </xdr:to>
    <xdr:graphicFrame macro="">
      <xdr:nvGraphicFramePr>
        <xdr:cNvPr id="3" name="แผนภูมิ 2">
          <a:extLst>
            <a:ext uri="{FF2B5EF4-FFF2-40B4-BE49-F238E27FC236}">
              <a16:creationId xmlns:a16="http://schemas.microsoft.com/office/drawing/2014/main" id="{40D31FDC-51E6-49E4-BD35-C02D35C0E9E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-1</xdr:colOff>
      <xdr:row>16</xdr:row>
      <xdr:rowOff>190501</xdr:rowOff>
    </xdr:from>
    <xdr:to>
      <xdr:col>7</xdr:col>
      <xdr:colOff>0</xdr:colOff>
      <xdr:row>32</xdr:row>
      <xdr:rowOff>154782</xdr:rowOff>
    </xdr:to>
    <xdr:sp macro="" textlink="">
      <xdr:nvSpPr>
        <xdr:cNvPr id="4" name="สี่เหลี่ยมผืนผ้า 3">
          <a:extLst>
            <a:ext uri="{FF2B5EF4-FFF2-40B4-BE49-F238E27FC236}">
              <a16:creationId xmlns:a16="http://schemas.microsoft.com/office/drawing/2014/main" id="{0BED56EA-C292-40EB-B5DE-673F2116B938}"/>
            </a:ext>
          </a:extLst>
        </xdr:cNvPr>
        <xdr:cNvSpPr/>
      </xdr:nvSpPr>
      <xdr:spPr>
        <a:xfrm>
          <a:off x="2400299" y="4886326"/>
          <a:ext cx="9001126" cy="4279106"/>
        </a:xfrm>
        <a:prstGeom prst="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295275</xdr:colOff>
      <xdr:row>3</xdr:row>
      <xdr:rowOff>85725</xdr:rowOff>
    </xdr:from>
    <xdr:to>
      <xdr:col>7</xdr:col>
      <xdr:colOff>209550</xdr:colOff>
      <xdr:row>6</xdr:row>
      <xdr:rowOff>38100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A61AA9F8-17E9-4E6A-A832-CA35CB508F4A}"/>
            </a:ext>
          </a:extLst>
        </xdr:cNvPr>
        <xdr:cNvSpPr txBox="1"/>
      </xdr:nvSpPr>
      <xdr:spPr>
        <a:xfrm>
          <a:off x="2352675" y="885825"/>
          <a:ext cx="2638425" cy="7524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ค่าครุภัณฑ์ ที่ดินและสิ่งก่อสร้าง 31 รายการ เป็นเงิน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 2,730,770 บาท</a:t>
          </a:r>
          <a:endParaRPr lang="th-TH" sz="1600" b="1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  <xdr:twoCellAnchor>
    <xdr:from>
      <xdr:col>1</xdr:col>
      <xdr:colOff>314325</xdr:colOff>
      <xdr:row>7</xdr:row>
      <xdr:rowOff>171450</xdr:rowOff>
    </xdr:from>
    <xdr:to>
      <xdr:col>3</xdr:col>
      <xdr:colOff>647700</xdr:colOff>
      <xdr:row>9</xdr:row>
      <xdr:rowOff>209550</xdr:rowOff>
    </xdr:to>
    <xdr:sp macro="" textlink="">
      <xdr:nvSpPr>
        <xdr:cNvPr id="3" name="กล่องข้อความ 2">
          <a:extLst>
            <a:ext uri="{FF2B5EF4-FFF2-40B4-BE49-F238E27FC236}">
              <a16:creationId xmlns:a16="http://schemas.microsoft.com/office/drawing/2014/main" id="{B279F0BD-5615-441B-9EBD-035D787B44C7}"/>
            </a:ext>
          </a:extLst>
        </xdr:cNvPr>
        <xdr:cNvSpPr txBox="1"/>
      </xdr:nvSpPr>
      <xdr:spPr>
        <a:xfrm>
          <a:off x="1000125" y="2038350"/>
          <a:ext cx="1704975" cy="5715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ค่าครุภัณฑ์ 30 รายการ เป็นเงิน 1,800,770 บาท</a:t>
          </a:r>
        </a:p>
      </xdr:txBody>
    </xdr:sp>
    <xdr:clientData/>
  </xdr:twoCellAnchor>
  <xdr:twoCellAnchor>
    <xdr:from>
      <xdr:col>6</xdr:col>
      <xdr:colOff>285751</xdr:colOff>
      <xdr:row>7</xdr:row>
      <xdr:rowOff>161925</xdr:rowOff>
    </xdr:from>
    <xdr:to>
      <xdr:col>8</xdr:col>
      <xdr:colOff>714376</xdr:colOff>
      <xdr:row>9</xdr:row>
      <xdr:rowOff>209550</xdr:rowOff>
    </xdr:to>
    <xdr:sp macro="" textlink="">
      <xdr:nvSpPr>
        <xdr:cNvPr id="4" name="กล่องข้อความ 3">
          <a:extLst>
            <a:ext uri="{FF2B5EF4-FFF2-40B4-BE49-F238E27FC236}">
              <a16:creationId xmlns:a16="http://schemas.microsoft.com/office/drawing/2014/main" id="{23105E06-7972-44C3-B3CA-B2594217BAE8}"/>
            </a:ext>
          </a:extLst>
        </xdr:cNvPr>
        <xdr:cNvSpPr txBox="1"/>
      </xdr:nvSpPr>
      <xdr:spPr>
        <a:xfrm>
          <a:off x="4400551" y="2028825"/>
          <a:ext cx="1981200" cy="581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ที่ดินและสิ่งก่อสร้าง 1 รายการ เป็นเงิน 930,000 บาท</a:t>
          </a:r>
        </a:p>
      </xdr:txBody>
    </xdr:sp>
    <xdr:clientData/>
  </xdr:twoCellAnchor>
  <xdr:twoCellAnchor>
    <xdr:from>
      <xdr:col>1</xdr:col>
      <xdr:colOff>133350</xdr:colOff>
      <xdr:row>11</xdr:row>
      <xdr:rowOff>190500</xdr:rowOff>
    </xdr:from>
    <xdr:to>
      <xdr:col>4</xdr:col>
      <xdr:colOff>104775</xdr:colOff>
      <xdr:row>14</xdr:row>
      <xdr:rowOff>76200</xdr:rowOff>
    </xdr:to>
    <xdr:sp macro="" textlink="">
      <xdr:nvSpPr>
        <xdr:cNvPr id="5" name="กล่องข้อความ 4">
          <a:extLst>
            <a:ext uri="{FF2B5EF4-FFF2-40B4-BE49-F238E27FC236}">
              <a16:creationId xmlns:a16="http://schemas.microsoft.com/office/drawing/2014/main" id="{8D413CBC-199E-4BEF-AFE4-17ECA8DD18DA}"/>
            </a:ext>
          </a:extLst>
        </xdr:cNvPr>
        <xdr:cNvSpPr txBox="1"/>
      </xdr:nvSpPr>
      <xdr:spPr>
        <a:xfrm>
          <a:off x="819150" y="3124200"/>
          <a:ext cx="2028825" cy="6858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เบิกจ่ายแล้ว 30 รายการ       เป็นเงิน 1,798,099 บาท</a:t>
          </a:r>
        </a:p>
      </xdr:txBody>
    </xdr:sp>
    <xdr:clientData/>
  </xdr:twoCellAnchor>
  <xdr:twoCellAnchor>
    <xdr:from>
      <xdr:col>2</xdr:col>
      <xdr:colOff>476250</xdr:colOff>
      <xdr:row>6</xdr:row>
      <xdr:rowOff>219075</xdr:rowOff>
    </xdr:from>
    <xdr:to>
      <xdr:col>7</xdr:col>
      <xdr:colOff>500063</xdr:colOff>
      <xdr:row>6</xdr:row>
      <xdr:rowOff>219075</xdr:rowOff>
    </xdr:to>
    <xdr:cxnSp macro="">
      <xdr:nvCxnSpPr>
        <xdr:cNvPr id="10" name="ตัวเชื่อมต่อตรง 9">
          <a:extLst>
            <a:ext uri="{FF2B5EF4-FFF2-40B4-BE49-F238E27FC236}">
              <a16:creationId xmlns:a16="http://schemas.microsoft.com/office/drawing/2014/main" id="{9CE4DE2A-63BE-4CD8-A5A1-6728BE33975C}"/>
            </a:ext>
          </a:extLst>
        </xdr:cNvPr>
        <xdr:cNvCxnSpPr>
          <a:endCxn id="14" idx="0"/>
        </xdr:cNvCxnSpPr>
      </xdr:nvCxnSpPr>
      <xdr:spPr>
        <a:xfrm>
          <a:off x="1847850" y="1819275"/>
          <a:ext cx="2890838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466725</xdr:colOff>
      <xdr:row>6</xdr:row>
      <xdr:rowOff>228600</xdr:rowOff>
    </xdr:from>
    <xdr:to>
      <xdr:col>2</xdr:col>
      <xdr:colOff>514350</xdr:colOff>
      <xdr:row>7</xdr:row>
      <xdr:rowOff>152400</xdr:rowOff>
    </xdr:to>
    <xdr:sp macro="" textlink="">
      <xdr:nvSpPr>
        <xdr:cNvPr id="13" name="ลูกศร: ลง 12">
          <a:extLst>
            <a:ext uri="{FF2B5EF4-FFF2-40B4-BE49-F238E27FC236}">
              <a16:creationId xmlns:a16="http://schemas.microsoft.com/office/drawing/2014/main" id="{BA63DAB8-A714-43C1-9E61-8217B678226C}"/>
            </a:ext>
          </a:extLst>
        </xdr:cNvPr>
        <xdr:cNvSpPr/>
      </xdr:nvSpPr>
      <xdr:spPr>
        <a:xfrm>
          <a:off x="1838325" y="1828800"/>
          <a:ext cx="47625" cy="190500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  <xdr:twoCellAnchor>
    <xdr:from>
      <xdr:col>7</xdr:col>
      <xdr:colOff>476250</xdr:colOff>
      <xdr:row>6</xdr:row>
      <xdr:rowOff>219075</xdr:rowOff>
    </xdr:from>
    <xdr:to>
      <xdr:col>7</xdr:col>
      <xdr:colOff>523875</xdr:colOff>
      <xdr:row>7</xdr:row>
      <xdr:rowOff>142875</xdr:rowOff>
    </xdr:to>
    <xdr:sp macro="" textlink="">
      <xdr:nvSpPr>
        <xdr:cNvPr id="14" name="ลูกศร: ลง 13">
          <a:extLst>
            <a:ext uri="{FF2B5EF4-FFF2-40B4-BE49-F238E27FC236}">
              <a16:creationId xmlns:a16="http://schemas.microsoft.com/office/drawing/2014/main" id="{F73D072D-783B-4233-92D8-B495902C509F}"/>
            </a:ext>
          </a:extLst>
        </xdr:cNvPr>
        <xdr:cNvSpPr/>
      </xdr:nvSpPr>
      <xdr:spPr>
        <a:xfrm>
          <a:off x="4714875" y="1819275"/>
          <a:ext cx="47625" cy="190500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  <xdr:twoCellAnchor>
    <xdr:from>
      <xdr:col>5</xdr:col>
      <xdr:colOff>371475</xdr:colOff>
      <xdr:row>6</xdr:row>
      <xdr:rowOff>66674</xdr:rowOff>
    </xdr:from>
    <xdr:to>
      <xdr:col>5</xdr:col>
      <xdr:colOff>428625</xdr:colOff>
      <xdr:row>6</xdr:row>
      <xdr:rowOff>209549</xdr:rowOff>
    </xdr:to>
    <xdr:sp macro="" textlink="">
      <xdr:nvSpPr>
        <xdr:cNvPr id="15" name="ลูกศร: ลง 14">
          <a:extLst>
            <a:ext uri="{FF2B5EF4-FFF2-40B4-BE49-F238E27FC236}">
              <a16:creationId xmlns:a16="http://schemas.microsoft.com/office/drawing/2014/main" id="{21B29FB6-2D0D-4759-9912-E7DC6A6A100F}"/>
            </a:ext>
          </a:extLst>
        </xdr:cNvPr>
        <xdr:cNvSpPr/>
      </xdr:nvSpPr>
      <xdr:spPr>
        <a:xfrm>
          <a:off x="3800475" y="1666874"/>
          <a:ext cx="57150" cy="142875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  <xdr:twoCellAnchor>
    <xdr:from>
      <xdr:col>2</xdr:col>
      <xdr:colOff>466725</xdr:colOff>
      <xdr:row>10</xdr:row>
      <xdr:rowOff>19050</xdr:rowOff>
    </xdr:from>
    <xdr:to>
      <xdr:col>2</xdr:col>
      <xdr:colOff>512444</xdr:colOff>
      <xdr:row>11</xdr:row>
      <xdr:rowOff>161925</xdr:rowOff>
    </xdr:to>
    <xdr:sp macro="" textlink="">
      <xdr:nvSpPr>
        <xdr:cNvPr id="16" name="ลูกศร: ลง 15">
          <a:extLst>
            <a:ext uri="{FF2B5EF4-FFF2-40B4-BE49-F238E27FC236}">
              <a16:creationId xmlns:a16="http://schemas.microsoft.com/office/drawing/2014/main" id="{AE52C20A-EC63-4C41-B9D3-BC98144801CF}"/>
            </a:ext>
          </a:extLst>
        </xdr:cNvPr>
        <xdr:cNvSpPr/>
      </xdr:nvSpPr>
      <xdr:spPr>
        <a:xfrm>
          <a:off x="1838325" y="2686050"/>
          <a:ext cx="45719" cy="409575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  <xdr:twoCellAnchor>
    <xdr:from>
      <xdr:col>7</xdr:col>
      <xdr:colOff>504825</xdr:colOff>
      <xdr:row>9</xdr:row>
      <xdr:rowOff>238125</xdr:rowOff>
    </xdr:from>
    <xdr:to>
      <xdr:col>7</xdr:col>
      <xdr:colOff>552450</xdr:colOff>
      <xdr:row>10</xdr:row>
      <xdr:rowOff>257175</xdr:rowOff>
    </xdr:to>
    <xdr:sp macro="" textlink="">
      <xdr:nvSpPr>
        <xdr:cNvPr id="20" name="ลูกศร: ลง 19">
          <a:extLst>
            <a:ext uri="{FF2B5EF4-FFF2-40B4-BE49-F238E27FC236}">
              <a16:creationId xmlns:a16="http://schemas.microsoft.com/office/drawing/2014/main" id="{E74750B3-3129-48B0-A5AD-B21F4C15E658}"/>
            </a:ext>
          </a:extLst>
        </xdr:cNvPr>
        <xdr:cNvSpPr/>
      </xdr:nvSpPr>
      <xdr:spPr>
        <a:xfrm>
          <a:off x="5429250" y="2638425"/>
          <a:ext cx="47625" cy="285750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  <xdr:twoCellAnchor>
    <xdr:from>
      <xdr:col>6</xdr:col>
      <xdr:colOff>514350</xdr:colOff>
      <xdr:row>18</xdr:row>
      <xdr:rowOff>19050</xdr:rowOff>
    </xdr:from>
    <xdr:to>
      <xdr:col>8</xdr:col>
      <xdr:colOff>1095375</xdr:colOff>
      <xdr:row>20</xdr:row>
      <xdr:rowOff>66675</xdr:rowOff>
    </xdr:to>
    <xdr:sp macro="" textlink="">
      <xdr:nvSpPr>
        <xdr:cNvPr id="41" name="กล่องข้อความ 40">
          <a:extLst>
            <a:ext uri="{FF2B5EF4-FFF2-40B4-BE49-F238E27FC236}">
              <a16:creationId xmlns:a16="http://schemas.microsoft.com/office/drawing/2014/main" id="{E6B905BD-5298-4CE0-B4E2-300AAC50F389}"/>
            </a:ext>
          </a:extLst>
        </xdr:cNvPr>
        <xdr:cNvSpPr txBox="1"/>
      </xdr:nvSpPr>
      <xdr:spPr>
        <a:xfrm>
          <a:off x="4629150" y="4552950"/>
          <a:ext cx="2076450" cy="581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อยู่ระหว่างดำเนินการของผู้รับจ้าง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  <xdr:twoCellAnchor>
    <xdr:from>
      <xdr:col>7</xdr:col>
      <xdr:colOff>676275</xdr:colOff>
      <xdr:row>17</xdr:row>
      <xdr:rowOff>9524</xdr:rowOff>
    </xdr:from>
    <xdr:to>
      <xdr:col>8</xdr:col>
      <xdr:colOff>47625</xdr:colOff>
      <xdr:row>17</xdr:row>
      <xdr:rowOff>266699</xdr:rowOff>
    </xdr:to>
    <xdr:sp macro="" textlink="">
      <xdr:nvSpPr>
        <xdr:cNvPr id="42" name="ลูกศร: ลง 41">
          <a:extLst>
            <a:ext uri="{FF2B5EF4-FFF2-40B4-BE49-F238E27FC236}">
              <a16:creationId xmlns:a16="http://schemas.microsoft.com/office/drawing/2014/main" id="{524F4445-0B40-4FD6-B1D1-C1678DF45A26}"/>
            </a:ext>
          </a:extLst>
        </xdr:cNvPr>
        <xdr:cNvSpPr/>
      </xdr:nvSpPr>
      <xdr:spPr>
        <a:xfrm>
          <a:off x="5600700" y="4276724"/>
          <a:ext cx="57150" cy="257175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523875</xdr:colOff>
      <xdr:row>3</xdr:row>
      <xdr:rowOff>95250</xdr:rowOff>
    </xdr:from>
    <xdr:to>
      <xdr:col>7</xdr:col>
      <xdr:colOff>438150</xdr:colOff>
      <xdr:row>6</xdr:row>
      <xdr:rowOff>47625</xdr:rowOff>
    </xdr:to>
    <xdr:sp macro="" textlink="">
      <xdr:nvSpPr>
        <xdr:cNvPr id="2" name="กล่องข้อความ 1">
          <a:extLst>
            <a:ext uri="{FF2B5EF4-FFF2-40B4-BE49-F238E27FC236}">
              <a16:creationId xmlns:a16="http://schemas.microsoft.com/office/drawing/2014/main" id="{64CA95FA-0952-4820-95A7-DCE6D61516FE}"/>
            </a:ext>
          </a:extLst>
        </xdr:cNvPr>
        <xdr:cNvSpPr txBox="1"/>
      </xdr:nvSpPr>
      <xdr:spPr>
        <a:xfrm>
          <a:off x="2581275" y="895350"/>
          <a:ext cx="2409825" cy="7524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การเบิกเงินเหลื่อมปี</a:t>
          </a:r>
        </a:p>
      </xdr:txBody>
    </xdr:sp>
    <xdr:clientData/>
  </xdr:twoCellAnchor>
  <xdr:twoCellAnchor>
    <xdr:from>
      <xdr:col>1</xdr:col>
      <xdr:colOff>66675</xdr:colOff>
      <xdr:row>7</xdr:row>
      <xdr:rowOff>171450</xdr:rowOff>
    </xdr:from>
    <xdr:to>
      <xdr:col>4</xdr:col>
      <xdr:colOff>428625</xdr:colOff>
      <xdr:row>9</xdr:row>
      <xdr:rowOff>209550</xdr:rowOff>
    </xdr:to>
    <xdr:sp macro="" textlink="">
      <xdr:nvSpPr>
        <xdr:cNvPr id="3" name="กล่องข้อความ 2">
          <a:extLst>
            <a:ext uri="{FF2B5EF4-FFF2-40B4-BE49-F238E27FC236}">
              <a16:creationId xmlns:a16="http://schemas.microsoft.com/office/drawing/2014/main" id="{8B79B0C6-E5D6-4B95-A60B-CD912DA5DF9F}"/>
            </a:ext>
          </a:extLst>
        </xdr:cNvPr>
        <xdr:cNvSpPr txBox="1"/>
      </xdr:nvSpPr>
      <xdr:spPr>
        <a:xfrm>
          <a:off x="752475" y="2038350"/>
          <a:ext cx="2419350" cy="5715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การเบิกเงินเหลื่อมปีงบประมาณ 2564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 มาดำเนินการปีงบประมาณ 2565</a:t>
          </a:r>
          <a:endParaRPr lang="th-TH" sz="1600" b="1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  <xdr:twoCellAnchor>
    <xdr:from>
      <xdr:col>7</xdr:col>
      <xdr:colOff>228601</xdr:colOff>
      <xdr:row>7</xdr:row>
      <xdr:rowOff>171450</xdr:rowOff>
    </xdr:from>
    <xdr:to>
      <xdr:col>7</xdr:col>
      <xdr:colOff>2476500</xdr:colOff>
      <xdr:row>9</xdr:row>
      <xdr:rowOff>219075</xdr:rowOff>
    </xdr:to>
    <xdr:sp macro="" textlink="">
      <xdr:nvSpPr>
        <xdr:cNvPr id="4" name="กล่องข้อความ 3">
          <a:extLst>
            <a:ext uri="{FF2B5EF4-FFF2-40B4-BE49-F238E27FC236}">
              <a16:creationId xmlns:a16="http://schemas.microsoft.com/office/drawing/2014/main" id="{5A0472C0-50A2-44FE-9CDA-52A7E5FD5575}"/>
            </a:ext>
          </a:extLst>
        </xdr:cNvPr>
        <xdr:cNvSpPr txBox="1"/>
      </xdr:nvSpPr>
      <xdr:spPr>
        <a:xfrm>
          <a:off x="4781551" y="2038350"/>
          <a:ext cx="2247899" cy="581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การกันเงินเหลื่อมปีงบประมาณ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 2565 </a:t>
          </a:r>
          <a:endParaRPr lang="th-TH" sz="1600" b="1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  <xdr:twoCellAnchor>
    <xdr:from>
      <xdr:col>3</xdr:col>
      <xdr:colOff>304800</xdr:colOff>
      <xdr:row>11</xdr:row>
      <xdr:rowOff>104775</xdr:rowOff>
    </xdr:from>
    <xdr:to>
      <xdr:col>5</xdr:col>
      <xdr:colOff>333375</xdr:colOff>
      <xdr:row>13</xdr:row>
      <xdr:rowOff>228600</xdr:rowOff>
    </xdr:to>
    <xdr:sp macro="" textlink="">
      <xdr:nvSpPr>
        <xdr:cNvPr id="5" name="กล่องข้อความ 4">
          <a:extLst>
            <a:ext uri="{FF2B5EF4-FFF2-40B4-BE49-F238E27FC236}">
              <a16:creationId xmlns:a16="http://schemas.microsoft.com/office/drawing/2014/main" id="{50FE4E88-7F3F-4A5F-B04D-7E2FA6A618B1}"/>
            </a:ext>
          </a:extLst>
        </xdr:cNvPr>
        <xdr:cNvSpPr txBox="1"/>
      </xdr:nvSpPr>
      <xdr:spPr>
        <a:xfrm>
          <a:off x="2362200" y="3038475"/>
          <a:ext cx="1400175" cy="6572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กรณีแบบก่อหนี้ผูกพัน</a:t>
          </a:r>
        </a:p>
      </xdr:txBody>
    </xdr:sp>
    <xdr:clientData/>
  </xdr:twoCellAnchor>
  <xdr:twoCellAnchor>
    <xdr:from>
      <xdr:col>2</xdr:col>
      <xdr:colOff>604838</xdr:colOff>
      <xdr:row>6</xdr:row>
      <xdr:rowOff>228600</xdr:rowOff>
    </xdr:from>
    <xdr:to>
      <xdr:col>7</xdr:col>
      <xdr:colOff>1366838</xdr:colOff>
      <xdr:row>6</xdr:row>
      <xdr:rowOff>238125</xdr:rowOff>
    </xdr:to>
    <xdr:cxnSp macro="">
      <xdr:nvCxnSpPr>
        <xdr:cNvPr id="6" name="ตัวเชื่อมต่อตรง 5">
          <a:extLst>
            <a:ext uri="{FF2B5EF4-FFF2-40B4-BE49-F238E27FC236}">
              <a16:creationId xmlns:a16="http://schemas.microsoft.com/office/drawing/2014/main" id="{1C0AB1E9-397B-4B65-99D4-CADC11D8BB7A}"/>
            </a:ext>
          </a:extLst>
        </xdr:cNvPr>
        <xdr:cNvCxnSpPr>
          <a:stCxn id="7" idx="0"/>
          <a:endCxn id="8" idx="0"/>
        </xdr:cNvCxnSpPr>
      </xdr:nvCxnSpPr>
      <xdr:spPr>
        <a:xfrm flipV="1">
          <a:off x="1976438" y="1828800"/>
          <a:ext cx="3943350" cy="95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581025</xdr:colOff>
      <xdr:row>6</xdr:row>
      <xdr:rowOff>238125</xdr:rowOff>
    </xdr:from>
    <xdr:to>
      <xdr:col>2</xdr:col>
      <xdr:colOff>628650</xdr:colOff>
      <xdr:row>7</xdr:row>
      <xdr:rowOff>161925</xdr:rowOff>
    </xdr:to>
    <xdr:sp macro="" textlink="">
      <xdr:nvSpPr>
        <xdr:cNvPr id="7" name="ลูกศร: ลง 6">
          <a:extLst>
            <a:ext uri="{FF2B5EF4-FFF2-40B4-BE49-F238E27FC236}">
              <a16:creationId xmlns:a16="http://schemas.microsoft.com/office/drawing/2014/main" id="{9BABE5CB-20A3-4540-93F6-3F76483D105E}"/>
            </a:ext>
          </a:extLst>
        </xdr:cNvPr>
        <xdr:cNvSpPr/>
      </xdr:nvSpPr>
      <xdr:spPr>
        <a:xfrm>
          <a:off x="1952625" y="1838325"/>
          <a:ext cx="47625" cy="190500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  <xdr:twoCellAnchor>
    <xdr:from>
      <xdr:col>7</xdr:col>
      <xdr:colOff>1343025</xdr:colOff>
      <xdr:row>6</xdr:row>
      <xdr:rowOff>228600</xdr:rowOff>
    </xdr:from>
    <xdr:to>
      <xdr:col>7</xdr:col>
      <xdr:colOff>1390650</xdr:colOff>
      <xdr:row>7</xdr:row>
      <xdr:rowOff>152400</xdr:rowOff>
    </xdr:to>
    <xdr:sp macro="" textlink="">
      <xdr:nvSpPr>
        <xdr:cNvPr id="8" name="ลูกศร: ลง 7">
          <a:extLst>
            <a:ext uri="{FF2B5EF4-FFF2-40B4-BE49-F238E27FC236}">
              <a16:creationId xmlns:a16="http://schemas.microsoft.com/office/drawing/2014/main" id="{41F825E3-5D2F-4BAF-B8FE-582050E6D1B8}"/>
            </a:ext>
          </a:extLst>
        </xdr:cNvPr>
        <xdr:cNvSpPr/>
      </xdr:nvSpPr>
      <xdr:spPr>
        <a:xfrm>
          <a:off x="5895975" y="1828800"/>
          <a:ext cx="47625" cy="190500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  <xdr:twoCellAnchor>
    <xdr:from>
      <xdr:col>5</xdr:col>
      <xdr:colOff>295275</xdr:colOff>
      <xdr:row>6</xdr:row>
      <xdr:rowOff>66674</xdr:rowOff>
    </xdr:from>
    <xdr:to>
      <xdr:col>5</xdr:col>
      <xdr:colOff>352425</xdr:colOff>
      <xdr:row>6</xdr:row>
      <xdr:rowOff>209549</xdr:rowOff>
    </xdr:to>
    <xdr:sp macro="" textlink="">
      <xdr:nvSpPr>
        <xdr:cNvPr id="9" name="ลูกศร: ลง 8">
          <a:extLst>
            <a:ext uri="{FF2B5EF4-FFF2-40B4-BE49-F238E27FC236}">
              <a16:creationId xmlns:a16="http://schemas.microsoft.com/office/drawing/2014/main" id="{E3F305D9-BBC8-406E-A8D3-3E089F45A63A}"/>
            </a:ext>
          </a:extLst>
        </xdr:cNvPr>
        <xdr:cNvSpPr/>
      </xdr:nvSpPr>
      <xdr:spPr>
        <a:xfrm>
          <a:off x="3724275" y="1666874"/>
          <a:ext cx="57150" cy="142875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  <xdr:twoCellAnchor>
    <xdr:from>
      <xdr:col>2</xdr:col>
      <xdr:colOff>561975</xdr:colOff>
      <xdr:row>9</xdr:row>
      <xdr:rowOff>219075</xdr:rowOff>
    </xdr:from>
    <xdr:to>
      <xdr:col>2</xdr:col>
      <xdr:colOff>628650</xdr:colOff>
      <xdr:row>10</xdr:row>
      <xdr:rowOff>133350</xdr:rowOff>
    </xdr:to>
    <xdr:sp macro="" textlink="">
      <xdr:nvSpPr>
        <xdr:cNvPr id="10" name="ลูกศร: ลง 9">
          <a:extLst>
            <a:ext uri="{FF2B5EF4-FFF2-40B4-BE49-F238E27FC236}">
              <a16:creationId xmlns:a16="http://schemas.microsoft.com/office/drawing/2014/main" id="{E64E084C-47DE-4ECC-B51F-9488A9F37F10}"/>
            </a:ext>
          </a:extLst>
        </xdr:cNvPr>
        <xdr:cNvSpPr/>
      </xdr:nvSpPr>
      <xdr:spPr>
        <a:xfrm>
          <a:off x="1933575" y="2619375"/>
          <a:ext cx="66675" cy="180975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  <xdr:twoCellAnchor>
    <xdr:from>
      <xdr:col>7</xdr:col>
      <xdr:colOff>1343025</xdr:colOff>
      <xdr:row>9</xdr:row>
      <xdr:rowOff>247650</xdr:rowOff>
    </xdr:from>
    <xdr:to>
      <xdr:col>7</xdr:col>
      <xdr:colOff>1390650</xdr:colOff>
      <xdr:row>11</xdr:row>
      <xdr:rowOff>0</xdr:rowOff>
    </xdr:to>
    <xdr:sp macro="" textlink="">
      <xdr:nvSpPr>
        <xdr:cNvPr id="11" name="ลูกศร: ลง 10">
          <a:extLst>
            <a:ext uri="{FF2B5EF4-FFF2-40B4-BE49-F238E27FC236}">
              <a16:creationId xmlns:a16="http://schemas.microsoft.com/office/drawing/2014/main" id="{6D8BD8E8-C1C8-46EE-8454-81FA6BBF2915}"/>
            </a:ext>
          </a:extLst>
        </xdr:cNvPr>
        <xdr:cNvSpPr/>
      </xdr:nvSpPr>
      <xdr:spPr>
        <a:xfrm>
          <a:off x="6324600" y="2647950"/>
          <a:ext cx="47625" cy="285750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  <xdr:twoCellAnchor>
    <xdr:from>
      <xdr:col>0</xdr:col>
      <xdr:colOff>47626</xdr:colOff>
      <xdr:row>11</xdr:row>
      <xdr:rowOff>104775</xdr:rowOff>
    </xdr:from>
    <xdr:to>
      <xdr:col>2</xdr:col>
      <xdr:colOff>219075</xdr:colOff>
      <xdr:row>13</xdr:row>
      <xdr:rowOff>219075</xdr:rowOff>
    </xdr:to>
    <xdr:sp macro="" textlink="">
      <xdr:nvSpPr>
        <xdr:cNvPr id="14" name="กล่องข้อความ 13">
          <a:extLst>
            <a:ext uri="{FF2B5EF4-FFF2-40B4-BE49-F238E27FC236}">
              <a16:creationId xmlns:a16="http://schemas.microsoft.com/office/drawing/2014/main" id="{CE6E3D49-5537-4092-A3BC-94232D0EDD82}"/>
            </a:ext>
          </a:extLst>
        </xdr:cNvPr>
        <xdr:cNvSpPr txBox="1"/>
      </xdr:nvSpPr>
      <xdr:spPr>
        <a:xfrm>
          <a:off x="47626" y="3038475"/>
          <a:ext cx="1543049" cy="6477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กรณีแบบไม่ก่อหนี้ผูกพัน</a:t>
          </a:r>
        </a:p>
      </xdr:txBody>
    </xdr:sp>
    <xdr:clientData/>
  </xdr:twoCellAnchor>
  <xdr:twoCellAnchor>
    <xdr:from>
      <xdr:col>1</xdr:col>
      <xdr:colOff>166688</xdr:colOff>
      <xdr:row>10</xdr:row>
      <xdr:rowOff>152400</xdr:rowOff>
    </xdr:from>
    <xdr:to>
      <xdr:col>4</xdr:col>
      <xdr:colOff>357188</xdr:colOff>
      <xdr:row>10</xdr:row>
      <xdr:rowOff>161925</xdr:rowOff>
    </xdr:to>
    <xdr:cxnSp macro="">
      <xdr:nvCxnSpPr>
        <xdr:cNvPr id="15" name="ตัวเชื่อมต่อตรง 14">
          <a:extLst>
            <a:ext uri="{FF2B5EF4-FFF2-40B4-BE49-F238E27FC236}">
              <a16:creationId xmlns:a16="http://schemas.microsoft.com/office/drawing/2014/main" id="{82CACF44-89C7-4091-AEC7-2CF55CEBAF46}"/>
            </a:ext>
          </a:extLst>
        </xdr:cNvPr>
        <xdr:cNvCxnSpPr>
          <a:stCxn id="17" idx="0"/>
          <a:endCxn id="18" idx="0"/>
        </xdr:cNvCxnSpPr>
      </xdr:nvCxnSpPr>
      <xdr:spPr>
        <a:xfrm>
          <a:off x="852488" y="2819400"/>
          <a:ext cx="2247900" cy="95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142875</xdr:colOff>
      <xdr:row>10</xdr:row>
      <xdr:rowOff>152400</xdr:rowOff>
    </xdr:from>
    <xdr:to>
      <xdr:col>1</xdr:col>
      <xdr:colOff>190500</xdr:colOff>
      <xdr:row>11</xdr:row>
      <xdr:rowOff>76200</xdr:rowOff>
    </xdr:to>
    <xdr:sp macro="" textlink="">
      <xdr:nvSpPr>
        <xdr:cNvPr id="17" name="ลูกศร: ลง 16">
          <a:extLst>
            <a:ext uri="{FF2B5EF4-FFF2-40B4-BE49-F238E27FC236}">
              <a16:creationId xmlns:a16="http://schemas.microsoft.com/office/drawing/2014/main" id="{BC060B22-78AE-47AD-A05A-6C02AF6D0231}"/>
            </a:ext>
          </a:extLst>
        </xdr:cNvPr>
        <xdr:cNvSpPr/>
      </xdr:nvSpPr>
      <xdr:spPr>
        <a:xfrm>
          <a:off x="828675" y="2819400"/>
          <a:ext cx="47625" cy="190500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  <xdr:twoCellAnchor>
    <xdr:from>
      <xdr:col>4</xdr:col>
      <xdr:colOff>333375</xdr:colOff>
      <xdr:row>10</xdr:row>
      <xdr:rowOff>161925</xdr:rowOff>
    </xdr:from>
    <xdr:to>
      <xdr:col>4</xdr:col>
      <xdr:colOff>381000</xdr:colOff>
      <xdr:row>11</xdr:row>
      <xdr:rowOff>85725</xdr:rowOff>
    </xdr:to>
    <xdr:sp macro="" textlink="">
      <xdr:nvSpPr>
        <xdr:cNvPr id="18" name="ลูกศร: ลง 17">
          <a:extLst>
            <a:ext uri="{FF2B5EF4-FFF2-40B4-BE49-F238E27FC236}">
              <a16:creationId xmlns:a16="http://schemas.microsoft.com/office/drawing/2014/main" id="{6856D6EE-90DB-4DAE-AC75-3168D2048DDE}"/>
            </a:ext>
          </a:extLst>
        </xdr:cNvPr>
        <xdr:cNvSpPr/>
      </xdr:nvSpPr>
      <xdr:spPr>
        <a:xfrm>
          <a:off x="3076575" y="2828925"/>
          <a:ext cx="47625" cy="190500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  <xdr:twoCellAnchor>
    <xdr:from>
      <xdr:col>0</xdr:col>
      <xdr:colOff>8942</xdr:colOff>
      <xdr:row>15</xdr:row>
      <xdr:rowOff>47625</xdr:rowOff>
    </xdr:from>
    <xdr:to>
      <xdr:col>2</xdr:col>
      <xdr:colOff>609017</xdr:colOff>
      <xdr:row>18</xdr:row>
      <xdr:rowOff>190500</xdr:rowOff>
    </xdr:to>
    <xdr:sp macro="" textlink="">
      <xdr:nvSpPr>
        <xdr:cNvPr id="20" name="กล่องข้อความ 19">
          <a:extLst>
            <a:ext uri="{FF2B5EF4-FFF2-40B4-BE49-F238E27FC236}">
              <a16:creationId xmlns:a16="http://schemas.microsoft.com/office/drawing/2014/main" id="{2B80A96F-E301-4D07-A7B9-B2813E8B758D}"/>
            </a:ext>
          </a:extLst>
        </xdr:cNvPr>
        <xdr:cNvSpPr txBox="1"/>
      </xdr:nvSpPr>
      <xdr:spPr>
        <a:xfrm>
          <a:off x="8942" y="3983977"/>
          <a:ext cx="1980228" cy="93014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เบิกจ่ายเรียบร้อยแล้ว 4 รายการ       เป็นเงิน 2,521,380 บาท</a:t>
          </a:r>
        </a:p>
      </xdr:txBody>
    </xdr:sp>
    <xdr:clientData/>
  </xdr:twoCellAnchor>
  <xdr:twoCellAnchor>
    <xdr:from>
      <xdr:col>1</xdr:col>
      <xdr:colOff>142875</xdr:colOff>
      <xdr:row>13</xdr:row>
      <xdr:rowOff>219075</xdr:rowOff>
    </xdr:from>
    <xdr:to>
      <xdr:col>1</xdr:col>
      <xdr:colOff>190500</xdr:colOff>
      <xdr:row>15</xdr:row>
      <xdr:rowOff>9525</xdr:rowOff>
    </xdr:to>
    <xdr:sp macro="" textlink="">
      <xdr:nvSpPr>
        <xdr:cNvPr id="21" name="ลูกศร: ลง 20">
          <a:extLst>
            <a:ext uri="{FF2B5EF4-FFF2-40B4-BE49-F238E27FC236}">
              <a16:creationId xmlns:a16="http://schemas.microsoft.com/office/drawing/2014/main" id="{9D840BAD-1217-48E0-AAA3-A297636B7424}"/>
            </a:ext>
          </a:extLst>
        </xdr:cNvPr>
        <xdr:cNvSpPr/>
      </xdr:nvSpPr>
      <xdr:spPr>
        <a:xfrm>
          <a:off x="828675" y="3686175"/>
          <a:ext cx="47625" cy="323850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  <xdr:twoCellAnchor>
    <xdr:from>
      <xdr:col>4</xdr:col>
      <xdr:colOff>314325</xdr:colOff>
      <xdr:row>13</xdr:row>
      <xdr:rowOff>238124</xdr:rowOff>
    </xdr:from>
    <xdr:to>
      <xdr:col>4</xdr:col>
      <xdr:colOff>371475</xdr:colOff>
      <xdr:row>15</xdr:row>
      <xdr:rowOff>38099</xdr:rowOff>
    </xdr:to>
    <xdr:sp macro="" textlink="">
      <xdr:nvSpPr>
        <xdr:cNvPr id="22" name="ลูกศร: ลง 21">
          <a:extLst>
            <a:ext uri="{FF2B5EF4-FFF2-40B4-BE49-F238E27FC236}">
              <a16:creationId xmlns:a16="http://schemas.microsoft.com/office/drawing/2014/main" id="{05C84313-F0DF-4890-8433-1ECD2CE39B15}"/>
            </a:ext>
          </a:extLst>
        </xdr:cNvPr>
        <xdr:cNvSpPr/>
      </xdr:nvSpPr>
      <xdr:spPr>
        <a:xfrm>
          <a:off x="3057525" y="3705224"/>
          <a:ext cx="57150" cy="333375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  <xdr:twoCellAnchor>
    <xdr:from>
      <xdr:col>2</xdr:col>
      <xdr:colOff>640897</xdr:colOff>
      <xdr:row>15</xdr:row>
      <xdr:rowOff>47236</xdr:rowOff>
    </xdr:from>
    <xdr:to>
      <xdr:col>5</xdr:col>
      <xdr:colOff>640896</xdr:colOff>
      <xdr:row>18</xdr:row>
      <xdr:rowOff>180586</xdr:rowOff>
    </xdr:to>
    <xdr:sp macro="" textlink="">
      <xdr:nvSpPr>
        <xdr:cNvPr id="23" name="กล่องข้อความ 22">
          <a:extLst>
            <a:ext uri="{FF2B5EF4-FFF2-40B4-BE49-F238E27FC236}">
              <a16:creationId xmlns:a16="http://schemas.microsoft.com/office/drawing/2014/main" id="{82FF1C67-9E93-47C1-880F-70E1DB588671}"/>
            </a:ext>
          </a:extLst>
        </xdr:cNvPr>
        <xdr:cNvSpPr txBox="1"/>
      </xdr:nvSpPr>
      <xdr:spPr>
        <a:xfrm>
          <a:off x="2021050" y="3983588"/>
          <a:ext cx="2070229" cy="92062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เบิกจ่ายเรียบร้อยแล้ว 20 รายการ       เป็นเงิน 4,340,405 บาท</a:t>
          </a:r>
        </a:p>
      </xdr:txBody>
    </xdr:sp>
    <xdr:clientData/>
  </xdr:twoCellAnchor>
  <xdr:twoCellAnchor>
    <xdr:from>
      <xdr:col>7</xdr:col>
      <xdr:colOff>476250</xdr:colOff>
      <xdr:row>11</xdr:row>
      <xdr:rowOff>19050</xdr:rowOff>
    </xdr:from>
    <xdr:to>
      <xdr:col>7</xdr:col>
      <xdr:colOff>2247900</xdr:colOff>
      <xdr:row>13</xdr:row>
      <xdr:rowOff>142875</xdr:rowOff>
    </xdr:to>
    <xdr:sp macro="" textlink="">
      <xdr:nvSpPr>
        <xdr:cNvPr id="28" name="กล่องข้อความ 27">
          <a:extLst>
            <a:ext uri="{FF2B5EF4-FFF2-40B4-BE49-F238E27FC236}">
              <a16:creationId xmlns:a16="http://schemas.microsoft.com/office/drawing/2014/main" id="{738C9C3F-AB5B-4DB3-8361-65D2A48ADDA8}"/>
            </a:ext>
          </a:extLst>
        </xdr:cNvPr>
        <xdr:cNvSpPr txBox="1"/>
      </xdr:nvSpPr>
      <xdr:spPr>
        <a:xfrm>
          <a:off x="5457825" y="2952750"/>
          <a:ext cx="1771650" cy="6572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กรณีแบบก่อหนี้ผูกพัน</a:t>
          </a:r>
        </a:p>
      </xdr:txBody>
    </xdr:sp>
    <xdr:clientData/>
  </xdr:twoCellAnchor>
  <xdr:twoCellAnchor>
    <xdr:from>
      <xdr:col>7</xdr:col>
      <xdr:colOff>0</xdr:colOff>
      <xdr:row>14</xdr:row>
      <xdr:rowOff>190500</xdr:rowOff>
    </xdr:from>
    <xdr:to>
      <xdr:col>7</xdr:col>
      <xdr:colOff>3061607</xdr:colOff>
      <xdr:row>26</xdr:row>
      <xdr:rowOff>252704</xdr:rowOff>
    </xdr:to>
    <xdr:sp macro="" textlink="">
      <xdr:nvSpPr>
        <xdr:cNvPr id="31" name="สี่เหลี่ยมผืนผ้า 30">
          <a:extLst>
            <a:ext uri="{FF2B5EF4-FFF2-40B4-BE49-F238E27FC236}">
              <a16:creationId xmlns:a16="http://schemas.microsoft.com/office/drawing/2014/main" id="{DAE4872E-15BE-F449-DF80-58214D00A47E}"/>
            </a:ext>
          </a:extLst>
        </xdr:cNvPr>
        <xdr:cNvSpPr/>
      </xdr:nvSpPr>
      <xdr:spPr>
        <a:xfrm>
          <a:off x="4208495" y="3864429"/>
          <a:ext cx="3061607" cy="4027714"/>
        </a:xfrm>
        <a:prstGeom prst="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  <xdr:twoCellAnchor>
    <xdr:from>
      <xdr:col>7</xdr:col>
      <xdr:colOff>1352550</xdr:colOff>
      <xdr:row>13</xdr:row>
      <xdr:rowOff>152400</xdr:rowOff>
    </xdr:from>
    <xdr:to>
      <xdr:col>7</xdr:col>
      <xdr:colOff>1400175</xdr:colOff>
      <xdr:row>14</xdr:row>
      <xdr:rowOff>171450</xdr:rowOff>
    </xdr:to>
    <xdr:sp macro="" textlink="">
      <xdr:nvSpPr>
        <xdr:cNvPr id="32" name="ลูกศร: ลง 31">
          <a:extLst>
            <a:ext uri="{FF2B5EF4-FFF2-40B4-BE49-F238E27FC236}">
              <a16:creationId xmlns:a16="http://schemas.microsoft.com/office/drawing/2014/main" id="{471E0030-CDA3-4A81-83B6-95610993E061}"/>
            </a:ext>
          </a:extLst>
        </xdr:cNvPr>
        <xdr:cNvSpPr/>
      </xdr:nvSpPr>
      <xdr:spPr>
        <a:xfrm>
          <a:off x="6334125" y="3619500"/>
          <a:ext cx="47625" cy="285750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h-TH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925B15-1E2D-4D31-90A4-C35100CDB335}">
  <dimension ref="A1:K24"/>
  <sheetViews>
    <sheetView tabSelected="1" zoomScale="80" zoomScaleNormal="80" workbookViewId="0">
      <selection activeCell="J29" sqref="J29"/>
    </sheetView>
  </sheetViews>
  <sheetFormatPr defaultColWidth="9" defaultRowHeight="21"/>
  <cols>
    <col min="1" max="1" width="31.44140625" style="1" customWidth="1"/>
    <col min="2" max="2" width="17.44140625" style="1" customWidth="1"/>
    <col min="3" max="3" width="18.33203125" style="1" customWidth="1"/>
    <col min="4" max="4" width="21.21875" style="1" customWidth="1"/>
    <col min="5" max="5" width="22.33203125" style="1" customWidth="1"/>
    <col min="6" max="6" width="16" style="1" customWidth="1"/>
    <col min="7" max="7" width="22.6640625" style="1" customWidth="1"/>
    <col min="8" max="8" width="16.33203125" style="1" customWidth="1"/>
    <col min="9" max="9" width="9" style="1" customWidth="1"/>
    <col min="10" max="10" width="19.6640625" style="1" customWidth="1"/>
    <col min="11" max="11" width="11.109375" style="1" customWidth="1"/>
    <col min="12" max="16384" width="9" style="1"/>
  </cols>
  <sheetData>
    <row r="1" spans="1:11" s="2" customFormat="1">
      <c r="A1" s="154" t="s">
        <v>198</v>
      </c>
      <c r="B1" s="154"/>
      <c r="C1" s="154"/>
      <c r="D1" s="154"/>
      <c r="E1" s="154"/>
      <c r="F1" s="154"/>
      <c r="G1" s="154"/>
      <c r="H1" s="154"/>
    </row>
    <row r="2" spans="1:11" s="2" customFormat="1">
      <c r="A2" s="154" t="s">
        <v>18</v>
      </c>
      <c r="B2" s="154"/>
      <c r="C2" s="154"/>
      <c r="D2" s="154"/>
      <c r="E2" s="154"/>
      <c r="F2" s="154"/>
      <c r="G2" s="154"/>
      <c r="H2" s="154"/>
    </row>
    <row r="3" spans="1:11" s="2" customFormat="1">
      <c r="A3" s="154" t="s">
        <v>199</v>
      </c>
      <c r="B3" s="154"/>
      <c r="C3" s="154"/>
      <c r="D3" s="154"/>
      <c r="E3" s="154"/>
      <c r="F3" s="154"/>
      <c r="G3" s="154"/>
      <c r="H3" s="154"/>
    </row>
    <row r="4" spans="1:11" s="5" customFormat="1">
      <c r="A4" s="155" t="s">
        <v>0</v>
      </c>
      <c r="B4" s="155" t="s">
        <v>1</v>
      </c>
      <c r="C4" s="155"/>
      <c r="D4" s="155"/>
      <c r="E4" s="155" t="s">
        <v>3</v>
      </c>
      <c r="F4" s="155"/>
      <c r="G4" s="155" t="s">
        <v>4</v>
      </c>
      <c r="H4" s="155"/>
    </row>
    <row r="5" spans="1:11" s="5" customFormat="1" ht="42">
      <c r="A5" s="155"/>
      <c r="B5" s="6" t="s">
        <v>5</v>
      </c>
      <c r="C5" s="6" t="s">
        <v>91</v>
      </c>
      <c r="D5" s="6" t="s">
        <v>6</v>
      </c>
      <c r="E5" s="7" t="s">
        <v>7</v>
      </c>
      <c r="F5" s="7" t="s">
        <v>8</v>
      </c>
      <c r="G5" s="7" t="s">
        <v>7</v>
      </c>
      <c r="H5" s="7" t="s">
        <v>8</v>
      </c>
      <c r="J5" s="38"/>
      <c r="K5" s="38"/>
    </row>
    <row r="6" spans="1:11">
      <c r="A6" s="8" t="s">
        <v>9</v>
      </c>
      <c r="B6" s="9">
        <v>153571800</v>
      </c>
      <c r="C6" s="18">
        <v>0</v>
      </c>
      <c r="D6" s="18">
        <f>SUM(B6+C6)</f>
        <v>153571800</v>
      </c>
      <c r="E6" s="18">
        <v>34560423.530000001</v>
      </c>
      <c r="F6" s="19">
        <f t="shared" ref="F6:F15" si="0">E6/D6</f>
        <v>0.22504407404223953</v>
      </c>
      <c r="G6" s="9">
        <f>SUM(D6-E6)</f>
        <v>119011376.47</v>
      </c>
      <c r="H6" s="22">
        <f t="shared" ref="H6:H15" si="1">G6/D6</f>
        <v>0.77495592595776042</v>
      </c>
    </row>
    <row r="7" spans="1:11">
      <c r="A7" s="10" t="s">
        <v>10</v>
      </c>
      <c r="B7" s="11">
        <v>48960000</v>
      </c>
      <c r="C7" s="11">
        <v>0</v>
      </c>
      <c r="D7" s="11">
        <f t="shared" ref="D7:D9" si="2">SUM(B7+C7)</f>
        <v>48960000</v>
      </c>
      <c r="E7" s="11">
        <v>11328848.33</v>
      </c>
      <c r="F7" s="21">
        <f t="shared" si="0"/>
        <v>0.23138987602124184</v>
      </c>
      <c r="G7" s="11">
        <f t="shared" ref="G7:G14" si="3">SUM(D7-E7)</f>
        <v>37631151.670000002</v>
      </c>
      <c r="H7" s="23">
        <f t="shared" si="1"/>
        <v>0.76861012397875816</v>
      </c>
      <c r="J7" s="4" t="s">
        <v>199</v>
      </c>
    </row>
    <row r="8" spans="1:11">
      <c r="A8" s="10" t="s">
        <v>11</v>
      </c>
      <c r="B8" s="11">
        <v>110544810</v>
      </c>
      <c r="C8" s="11">
        <v>0</v>
      </c>
      <c r="D8" s="11">
        <f t="shared" si="2"/>
        <v>110544810</v>
      </c>
      <c r="E8" s="11">
        <v>8936870.3499999996</v>
      </c>
      <c r="F8" s="21">
        <f t="shared" si="0"/>
        <v>8.0843870915332877E-2</v>
      </c>
      <c r="G8" s="11">
        <f t="shared" si="3"/>
        <v>101607939.65000001</v>
      </c>
      <c r="H8" s="23">
        <f t="shared" si="1"/>
        <v>0.91915612908466715</v>
      </c>
      <c r="J8" s="7" t="s">
        <v>3</v>
      </c>
      <c r="K8" s="7" t="s">
        <v>4</v>
      </c>
    </row>
    <row r="9" spans="1:11">
      <c r="A9" s="10" t="s">
        <v>12</v>
      </c>
      <c r="B9" s="11">
        <v>10124200</v>
      </c>
      <c r="C9" s="11">
        <v>0</v>
      </c>
      <c r="D9" s="11">
        <f t="shared" si="2"/>
        <v>10124200</v>
      </c>
      <c r="E9" s="11">
        <v>1754446.97</v>
      </c>
      <c r="F9" s="21">
        <f t="shared" si="0"/>
        <v>0.17329240532585291</v>
      </c>
      <c r="G9" s="11">
        <f t="shared" si="3"/>
        <v>8369753.0300000003</v>
      </c>
      <c r="H9" s="23">
        <f t="shared" si="1"/>
        <v>0.82670759467414712</v>
      </c>
      <c r="J9" s="92">
        <f>F15</f>
        <v>0.13845224249912885</v>
      </c>
      <c r="K9" s="96">
        <f>H15</f>
        <v>0.86154775750087109</v>
      </c>
    </row>
    <row r="10" spans="1:11">
      <c r="A10" s="12" t="s">
        <v>13</v>
      </c>
      <c r="B10" s="11">
        <f>SUM(B11:B12)</f>
        <v>63290290</v>
      </c>
      <c r="C10" s="11">
        <f>SUM(C11:C12)</f>
        <v>0</v>
      </c>
      <c r="D10" s="11">
        <f>SUM(D11:D12)</f>
        <v>63290290</v>
      </c>
      <c r="E10" s="11">
        <f>SUM(E11:E12)</f>
        <v>590500</v>
      </c>
      <c r="F10" s="21">
        <f t="shared" si="0"/>
        <v>9.3300251902780039E-3</v>
      </c>
      <c r="G10" s="11">
        <f t="shared" si="3"/>
        <v>62699790</v>
      </c>
      <c r="H10" s="23">
        <f t="shared" si="1"/>
        <v>0.99066997480972196</v>
      </c>
      <c r="J10" s="94"/>
      <c r="K10" s="94"/>
    </row>
    <row r="11" spans="1:11" s="13" customFormat="1">
      <c r="A11" s="107" t="s">
        <v>189</v>
      </c>
      <c r="B11" s="105">
        <v>4457290</v>
      </c>
      <c r="C11" s="105">
        <v>0</v>
      </c>
      <c r="D11" s="105">
        <f>SUM(B11+C11)</f>
        <v>4457290</v>
      </c>
      <c r="E11" s="105">
        <v>590500</v>
      </c>
      <c r="F11" s="104">
        <f t="shared" si="0"/>
        <v>0.13247960083369043</v>
      </c>
      <c r="G11" s="105">
        <f t="shared" si="3"/>
        <v>3866790</v>
      </c>
      <c r="H11" s="106">
        <f t="shared" si="1"/>
        <v>0.86752039916630952</v>
      </c>
      <c r="J11" s="125"/>
      <c r="K11" s="126"/>
    </row>
    <row r="12" spans="1:11" s="13" customFormat="1">
      <c r="A12" s="107" t="s">
        <v>190</v>
      </c>
      <c r="B12" s="105">
        <v>58833000</v>
      </c>
      <c r="C12" s="108">
        <v>0</v>
      </c>
      <c r="D12" s="105">
        <f>SUM(B12-C12)</f>
        <v>58833000</v>
      </c>
      <c r="E12" s="105">
        <v>0</v>
      </c>
      <c r="F12" s="104">
        <f t="shared" si="0"/>
        <v>0</v>
      </c>
      <c r="G12" s="105">
        <f t="shared" si="3"/>
        <v>58833000</v>
      </c>
      <c r="H12" s="106">
        <f t="shared" si="1"/>
        <v>1</v>
      </c>
    </row>
    <row r="13" spans="1:11">
      <c r="A13" s="10" t="s">
        <v>14</v>
      </c>
      <c r="B13" s="11">
        <v>10443000</v>
      </c>
      <c r="C13" s="11">
        <v>0</v>
      </c>
      <c r="D13" s="11">
        <f>SUM(B13)</f>
        <v>10443000</v>
      </c>
      <c r="E13" s="11">
        <v>271557</v>
      </c>
      <c r="F13" s="21">
        <f t="shared" si="0"/>
        <v>2.600373455903476E-2</v>
      </c>
      <c r="G13" s="11">
        <f t="shared" si="3"/>
        <v>10171443</v>
      </c>
      <c r="H13" s="23">
        <f t="shared" si="1"/>
        <v>0.97399626544096529</v>
      </c>
      <c r="J13" s="4" t="s">
        <v>199</v>
      </c>
    </row>
    <row r="14" spans="1:11">
      <c r="A14" s="14" t="s">
        <v>15</v>
      </c>
      <c r="B14" s="15">
        <v>29651350</v>
      </c>
      <c r="C14" s="15">
        <v>0</v>
      </c>
      <c r="D14" s="11">
        <f>SUM(B14+C14)</f>
        <v>29651350</v>
      </c>
      <c r="E14" s="20">
        <v>1619065.99</v>
      </c>
      <c r="F14" s="21">
        <f t="shared" si="0"/>
        <v>5.4603449421358558E-2</v>
      </c>
      <c r="G14" s="15">
        <f t="shared" si="3"/>
        <v>28032284.010000002</v>
      </c>
      <c r="H14" s="23">
        <f t="shared" si="1"/>
        <v>0.94539655057864147</v>
      </c>
      <c r="J14" s="7" t="s">
        <v>3</v>
      </c>
      <c r="K14" s="7" t="s">
        <v>100</v>
      </c>
    </row>
    <row r="15" spans="1:11" s="4" customFormat="1" ht="21.6" thickBot="1">
      <c r="A15" s="16" t="s">
        <v>16</v>
      </c>
      <c r="B15" s="17">
        <f>SUM(B6:B14)-B10</f>
        <v>426585450</v>
      </c>
      <c r="C15" s="17">
        <f>SUM(C6:C14)-C10</f>
        <v>0</v>
      </c>
      <c r="D15" s="17">
        <f>SUM(D6:D14)-D10</f>
        <v>426585450</v>
      </c>
      <c r="E15" s="17">
        <f>SUM(E6:E14)-E10</f>
        <v>59061712.170000002</v>
      </c>
      <c r="F15" s="24">
        <f t="shared" si="0"/>
        <v>0.13845224249912885</v>
      </c>
      <c r="G15" s="17">
        <f>SUM(G6:G14)-G10</f>
        <v>367523737.82999998</v>
      </c>
      <c r="H15" s="24">
        <f t="shared" si="1"/>
        <v>0.86154775750087109</v>
      </c>
      <c r="J15" s="92">
        <f>F15</f>
        <v>0.13845224249912885</v>
      </c>
      <c r="K15" s="96">
        <f>F18</f>
        <v>0.15</v>
      </c>
    </row>
    <row r="16" spans="1:11" s="4" customFormat="1" ht="21.6" thickTop="1">
      <c r="A16" s="25"/>
      <c r="B16" s="26"/>
      <c r="C16" s="26"/>
      <c r="D16" s="26"/>
      <c r="E16" s="26"/>
      <c r="F16" s="27"/>
      <c r="G16" s="26"/>
      <c r="H16" s="27"/>
      <c r="J16" s="94"/>
      <c r="K16" s="94"/>
    </row>
    <row r="17" spans="2:11">
      <c r="B17" s="151" t="s">
        <v>17</v>
      </c>
      <c r="C17" s="151"/>
      <c r="D17" s="151"/>
      <c r="E17" s="151"/>
      <c r="F17" s="151"/>
      <c r="G17" s="151"/>
      <c r="H17" s="102"/>
      <c r="J17" s="5"/>
      <c r="K17" s="5"/>
    </row>
    <row r="18" spans="2:11">
      <c r="B18" s="152" t="s">
        <v>200</v>
      </c>
      <c r="C18" s="152"/>
      <c r="D18" s="152"/>
      <c r="E18" s="152"/>
      <c r="F18" s="109">
        <v>0.15</v>
      </c>
      <c r="G18" s="103"/>
      <c r="H18" s="36"/>
      <c r="J18" s="125"/>
      <c r="K18" s="126"/>
    </row>
    <row r="19" spans="2:11">
      <c r="B19" s="153" t="s">
        <v>201</v>
      </c>
      <c r="C19" s="153"/>
      <c r="D19" s="153"/>
      <c r="E19" s="153"/>
      <c r="F19" s="109">
        <f>F15</f>
        <v>0.13845224249912885</v>
      </c>
      <c r="G19" s="103"/>
      <c r="H19" s="37"/>
      <c r="J19" s="3"/>
    </row>
    <row r="20" spans="2:11">
      <c r="D20" s="4"/>
      <c r="E20" s="65"/>
      <c r="F20" s="66"/>
      <c r="G20" s="4"/>
      <c r="J20" s="3"/>
    </row>
    <row r="22" spans="2:11">
      <c r="J22" s="3"/>
    </row>
    <row r="23" spans="2:11">
      <c r="J23" s="3"/>
    </row>
    <row r="24" spans="2:11">
      <c r="J24" s="3"/>
    </row>
  </sheetData>
  <mergeCells count="10">
    <mergeCell ref="B17:G17"/>
    <mergeCell ref="B18:E18"/>
    <mergeCell ref="B19:E19"/>
    <mergeCell ref="A1:H1"/>
    <mergeCell ref="A2:H2"/>
    <mergeCell ref="A3:H3"/>
    <mergeCell ref="A4:A5"/>
    <mergeCell ref="B4:D4"/>
    <mergeCell ref="E4:F4"/>
    <mergeCell ref="G4:H4"/>
  </mergeCells>
  <printOptions horizontalCentered="1"/>
  <pageMargins left="0.39370078740157483" right="0.39370078740157483" top="0.39370078740157483" bottom="0.19685039370078741" header="0.31496062992125984" footer="0.31496062992125984"/>
  <pageSetup paperSize="9" scale="7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E543E1-A8AC-4813-B801-3183FC7B2C5B}">
  <dimension ref="A1:K24"/>
  <sheetViews>
    <sheetView topLeftCell="A11" zoomScale="80" zoomScaleNormal="80" workbookViewId="0">
      <selection activeCell="J29" sqref="J29"/>
    </sheetView>
  </sheetViews>
  <sheetFormatPr defaultColWidth="9" defaultRowHeight="21"/>
  <cols>
    <col min="1" max="1" width="31.44140625" style="1" customWidth="1"/>
    <col min="2" max="2" width="17.44140625" style="1" customWidth="1"/>
    <col min="3" max="3" width="18.33203125" style="1" customWidth="1"/>
    <col min="4" max="4" width="21.21875" style="1" customWidth="1"/>
    <col min="5" max="5" width="22.33203125" style="1" customWidth="1"/>
    <col min="6" max="6" width="16" style="1" customWidth="1"/>
    <col min="7" max="7" width="22.6640625" style="1" customWidth="1"/>
    <col min="8" max="8" width="16.33203125" style="1" customWidth="1"/>
    <col min="9" max="9" width="9" style="1"/>
    <col min="10" max="10" width="19.6640625" style="1" bestFit="1" customWidth="1"/>
    <col min="11" max="11" width="11.109375" style="1" bestFit="1" customWidth="1"/>
    <col min="12" max="16384" width="9" style="1"/>
  </cols>
  <sheetData>
    <row r="1" spans="1:11" s="2" customFormat="1">
      <c r="A1" s="154" t="s">
        <v>198</v>
      </c>
      <c r="B1" s="154"/>
      <c r="C1" s="154"/>
      <c r="D1" s="154"/>
      <c r="E1" s="154"/>
      <c r="F1" s="154"/>
      <c r="G1" s="154"/>
      <c r="H1" s="154"/>
    </row>
    <row r="2" spans="1:11" s="2" customFormat="1">
      <c r="A2" s="154" t="s">
        <v>18</v>
      </c>
      <c r="B2" s="154"/>
      <c r="C2" s="154"/>
      <c r="D2" s="154"/>
      <c r="E2" s="154"/>
      <c r="F2" s="154"/>
      <c r="G2" s="154"/>
      <c r="H2" s="154"/>
    </row>
    <row r="3" spans="1:11" s="2" customFormat="1">
      <c r="A3" s="154" t="s">
        <v>202</v>
      </c>
      <c r="B3" s="154"/>
      <c r="C3" s="154"/>
      <c r="D3" s="154"/>
      <c r="E3" s="154"/>
      <c r="F3" s="154"/>
      <c r="G3" s="154"/>
      <c r="H3" s="154"/>
    </row>
    <row r="4" spans="1:11" s="5" customFormat="1">
      <c r="A4" s="155" t="s">
        <v>0</v>
      </c>
      <c r="B4" s="155" t="s">
        <v>1</v>
      </c>
      <c r="C4" s="155"/>
      <c r="D4" s="155"/>
      <c r="E4" s="155" t="s">
        <v>3</v>
      </c>
      <c r="F4" s="155"/>
      <c r="G4" s="155" t="s">
        <v>4</v>
      </c>
      <c r="H4" s="155"/>
    </row>
    <row r="5" spans="1:11" s="5" customFormat="1" ht="42">
      <c r="A5" s="155"/>
      <c r="B5" s="6" t="s">
        <v>5</v>
      </c>
      <c r="C5" s="6" t="s">
        <v>91</v>
      </c>
      <c r="D5" s="6" t="s">
        <v>6</v>
      </c>
      <c r="E5" s="7" t="s">
        <v>7</v>
      </c>
      <c r="F5" s="7" t="s">
        <v>8</v>
      </c>
      <c r="G5" s="7" t="s">
        <v>7</v>
      </c>
      <c r="H5" s="7" t="s">
        <v>8</v>
      </c>
      <c r="J5" s="38"/>
      <c r="K5" s="38"/>
    </row>
    <row r="6" spans="1:11">
      <c r="A6" s="8" t="s">
        <v>9</v>
      </c>
      <c r="B6" s="9">
        <v>153571800</v>
      </c>
      <c r="C6" s="18">
        <v>0</v>
      </c>
      <c r="D6" s="18">
        <f>SUM(B6+C6)</f>
        <v>153571800</v>
      </c>
      <c r="E6" s="18">
        <v>68443477.269999996</v>
      </c>
      <c r="F6" s="19">
        <f t="shared" ref="F6:F15" si="0">E6/D6</f>
        <v>0.44567737872447932</v>
      </c>
      <c r="G6" s="9">
        <f t="shared" ref="G6:G14" si="1">SUM(D6-E6)</f>
        <v>85128322.730000004</v>
      </c>
      <c r="H6" s="22">
        <f t="shared" ref="H6:H15" si="2">G6/D6</f>
        <v>0.55432262127552068</v>
      </c>
    </row>
    <row r="7" spans="1:11">
      <c r="A7" s="10" t="s">
        <v>10</v>
      </c>
      <c r="B7" s="11">
        <v>48960000</v>
      </c>
      <c r="C7" s="11">
        <v>0</v>
      </c>
      <c r="D7" s="11">
        <f t="shared" ref="D7:D9" si="3">SUM(B7+C7)</f>
        <v>48960000</v>
      </c>
      <c r="E7" s="11">
        <v>21191571.27</v>
      </c>
      <c r="F7" s="21">
        <f t="shared" si="0"/>
        <v>0.43283438051470585</v>
      </c>
      <c r="G7" s="11">
        <f t="shared" si="1"/>
        <v>27768428.73</v>
      </c>
      <c r="H7" s="23">
        <f t="shared" si="2"/>
        <v>0.56716561948529409</v>
      </c>
      <c r="J7" s="4" t="s">
        <v>191</v>
      </c>
    </row>
    <row r="8" spans="1:11">
      <c r="A8" s="10" t="s">
        <v>11</v>
      </c>
      <c r="B8" s="11">
        <v>110544810</v>
      </c>
      <c r="C8" s="11">
        <v>0</v>
      </c>
      <c r="D8" s="11">
        <f t="shared" si="3"/>
        <v>110544810</v>
      </c>
      <c r="E8" s="11">
        <v>25141108.100000001</v>
      </c>
      <c r="F8" s="21">
        <f t="shared" si="0"/>
        <v>0.22742911313520736</v>
      </c>
      <c r="G8" s="11">
        <f t="shared" si="1"/>
        <v>85403701.900000006</v>
      </c>
      <c r="H8" s="23">
        <f t="shared" si="2"/>
        <v>0.77257088686479269</v>
      </c>
      <c r="J8" s="7" t="s">
        <v>3</v>
      </c>
      <c r="K8" s="7" t="s">
        <v>4</v>
      </c>
    </row>
    <row r="9" spans="1:11">
      <c r="A9" s="10" t="s">
        <v>12</v>
      </c>
      <c r="B9" s="11">
        <v>10124200</v>
      </c>
      <c r="C9" s="11">
        <v>0</v>
      </c>
      <c r="D9" s="11">
        <f t="shared" si="3"/>
        <v>10124200</v>
      </c>
      <c r="E9" s="11">
        <v>4253933.8600000003</v>
      </c>
      <c r="F9" s="21">
        <f t="shared" si="0"/>
        <v>0.42017481480018176</v>
      </c>
      <c r="G9" s="11">
        <f t="shared" si="1"/>
        <v>5870266.1399999997</v>
      </c>
      <c r="H9" s="23">
        <f t="shared" si="2"/>
        <v>0.57982518519981818</v>
      </c>
      <c r="J9" s="92">
        <f>F15</f>
        <v>0.30221506717251018</v>
      </c>
      <c r="K9" s="96">
        <f>H15</f>
        <v>0.69778493282748977</v>
      </c>
    </row>
    <row r="10" spans="1:11">
      <c r="A10" s="12" t="s">
        <v>13</v>
      </c>
      <c r="B10" s="11">
        <f>SUM(B11:B12)</f>
        <v>63290290</v>
      </c>
      <c r="C10" s="11">
        <f>SUM(C11:C12)</f>
        <v>0</v>
      </c>
      <c r="D10" s="11">
        <f>SUM(D11:D12)</f>
        <v>63290290</v>
      </c>
      <c r="E10" s="11">
        <f>SUM(E11:E12)</f>
        <v>1360592</v>
      </c>
      <c r="F10" s="21">
        <f t="shared" si="0"/>
        <v>2.1497642055361098E-2</v>
      </c>
      <c r="G10" s="11">
        <f t="shared" si="1"/>
        <v>61929698</v>
      </c>
      <c r="H10" s="23">
        <f t="shared" si="2"/>
        <v>0.97850235794463891</v>
      </c>
      <c r="J10" s="94"/>
      <c r="K10" s="94"/>
    </row>
    <row r="11" spans="1:11" s="13" customFormat="1">
      <c r="A11" s="107" t="s">
        <v>189</v>
      </c>
      <c r="B11" s="105">
        <v>4457290</v>
      </c>
      <c r="C11" s="105">
        <v>0</v>
      </c>
      <c r="D11" s="105">
        <f>SUM(B11+C11)</f>
        <v>4457290</v>
      </c>
      <c r="E11" s="105">
        <v>1360592</v>
      </c>
      <c r="F11" s="104">
        <f t="shared" si="0"/>
        <v>0.30525094844625322</v>
      </c>
      <c r="G11" s="105">
        <f t="shared" si="1"/>
        <v>3096698</v>
      </c>
      <c r="H11" s="106">
        <f t="shared" si="2"/>
        <v>0.69474905155374678</v>
      </c>
      <c r="J11" s="125"/>
      <c r="K11" s="126"/>
    </row>
    <row r="12" spans="1:11" s="13" customFormat="1">
      <c r="A12" s="107" t="s">
        <v>190</v>
      </c>
      <c r="B12" s="105">
        <v>58833000</v>
      </c>
      <c r="C12" s="108">
        <v>0</v>
      </c>
      <c r="D12" s="105">
        <f>SUM(B12-C12)</f>
        <v>58833000</v>
      </c>
      <c r="E12" s="105">
        <v>0</v>
      </c>
      <c r="F12" s="104">
        <f t="shared" si="0"/>
        <v>0</v>
      </c>
      <c r="G12" s="105">
        <f t="shared" si="1"/>
        <v>58833000</v>
      </c>
      <c r="H12" s="106">
        <f t="shared" si="2"/>
        <v>1</v>
      </c>
    </row>
    <row r="13" spans="1:11">
      <c r="A13" s="10" t="s">
        <v>14</v>
      </c>
      <c r="B13" s="11">
        <v>10443000</v>
      </c>
      <c r="C13" s="11">
        <v>0</v>
      </c>
      <c r="D13" s="11">
        <f>SUM(B13)</f>
        <v>10443000</v>
      </c>
      <c r="E13" s="11">
        <v>2957256</v>
      </c>
      <c r="F13" s="21">
        <f t="shared" si="0"/>
        <v>0.28318069520252803</v>
      </c>
      <c r="G13" s="11">
        <f t="shared" si="1"/>
        <v>7485744</v>
      </c>
      <c r="H13" s="23">
        <f t="shared" si="2"/>
        <v>0.71681930479747202</v>
      </c>
      <c r="J13" s="4" t="s">
        <v>191</v>
      </c>
    </row>
    <row r="14" spans="1:11">
      <c r="A14" s="14" t="s">
        <v>15</v>
      </c>
      <c r="B14" s="15">
        <v>29851350</v>
      </c>
      <c r="C14" s="15">
        <v>0</v>
      </c>
      <c r="D14" s="11">
        <f>SUM(B14+C14)</f>
        <v>29851350</v>
      </c>
      <c r="E14" s="20">
        <v>5633054.9400000004</v>
      </c>
      <c r="F14" s="21">
        <f t="shared" si="0"/>
        <v>0.18870352396122789</v>
      </c>
      <c r="G14" s="15">
        <f t="shared" si="1"/>
        <v>24218295.059999999</v>
      </c>
      <c r="H14" s="23">
        <f t="shared" si="2"/>
        <v>0.81129647603877209</v>
      </c>
      <c r="J14" s="7" t="s">
        <v>3</v>
      </c>
      <c r="K14" s="7" t="s">
        <v>100</v>
      </c>
    </row>
    <row r="15" spans="1:11" s="4" customFormat="1" ht="21.6" thickBot="1">
      <c r="A15" s="16" t="s">
        <v>16</v>
      </c>
      <c r="B15" s="17">
        <f>SUM(B6:B14)-B10</f>
        <v>426785450</v>
      </c>
      <c r="C15" s="17">
        <f>SUM(C6:C14)-C10</f>
        <v>0</v>
      </c>
      <c r="D15" s="17">
        <f>SUM(D6:D14)-D10</f>
        <v>426785450</v>
      </c>
      <c r="E15" s="17">
        <f>SUM(E6:E14)-E10</f>
        <v>128980993.43999998</v>
      </c>
      <c r="F15" s="24">
        <f t="shared" si="0"/>
        <v>0.30221506717251018</v>
      </c>
      <c r="G15" s="17">
        <f>SUM(G6:G14)-G10</f>
        <v>297804456.56</v>
      </c>
      <c r="H15" s="24">
        <f t="shared" si="2"/>
        <v>0.69778493282748977</v>
      </c>
      <c r="J15" s="92">
        <f>F15</f>
        <v>0.30221506717251018</v>
      </c>
      <c r="K15" s="96">
        <f>F18</f>
        <v>0.4</v>
      </c>
    </row>
    <row r="16" spans="1:11" s="4" customFormat="1" ht="21.6" thickTop="1">
      <c r="A16" s="25"/>
      <c r="B16" s="26"/>
      <c r="C16" s="26"/>
      <c r="D16" s="26"/>
      <c r="E16" s="26"/>
      <c r="F16" s="27"/>
      <c r="G16" s="26"/>
      <c r="H16" s="27"/>
      <c r="J16" s="94"/>
      <c r="K16" s="94"/>
    </row>
    <row r="17" spans="2:11">
      <c r="B17" s="151" t="s">
        <v>17</v>
      </c>
      <c r="C17" s="151"/>
      <c r="D17" s="151"/>
      <c r="E17" s="151"/>
      <c r="F17" s="151"/>
      <c r="G17" s="151"/>
      <c r="H17" s="102"/>
      <c r="J17" s="5"/>
      <c r="K17" s="5"/>
    </row>
    <row r="18" spans="2:11">
      <c r="B18" s="152" t="s">
        <v>203</v>
      </c>
      <c r="C18" s="152"/>
      <c r="D18" s="152"/>
      <c r="E18" s="152"/>
      <c r="F18" s="109">
        <v>0.4</v>
      </c>
      <c r="G18" s="103"/>
      <c r="H18" s="36"/>
      <c r="J18" s="125"/>
      <c r="K18" s="126"/>
    </row>
    <row r="19" spans="2:11">
      <c r="B19" s="153" t="s">
        <v>204</v>
      </c>
      <c r="C19" s="153"/>
      <c r="D19" s="153"/>
      <c r="E19" s="153"/>
      <c r="F19" s="109">
        <f>F15</f>
        <v>0.30221506717251018</v>
      </c>
      <c r="G19" s="103"/>
      <c r="H19" s="37"/>
      <c r="J19" s="3"/>
    </row>
    <row r="20" spans="2:11">
      <c r="D20" s="4"/>
      <c r="E20" s="65"/>
      <c r="F20" s="66"/>
      <c r="G20" s="4"/>
      <c r="J20" s="3"/>
    </row>
    <row r="22" spans="2:11">
      <c r="J22" s="3"/>
    </row>
    <row r="23" spans="2:11">
      <c r="J23" s="3"/>
    </row>
    <row r="24" spans="2:11">
      <c r="J24" s="3"/>
    </row>
  </sheetData>
  <mergeCells count="10">
    <mergeCell ref="B17:G17"/>
    <mergeCell ref="B18:E18"/>
    <mergeCell ref="B19:E19"/>
    <mergeCell ref="A1:H1"/>
    <mergeCell ref="A2:H2"/>
    <mergeCell ref="A3:H3"/>
    <mergeCell ref="A4:A5"/>
    <mergeCell ref="B4:D4"/>
    <mergeCell ref="E4:F4"/>
    <mergeCell ref="G4:H4"/>
  </mergeCells>
  <printOptions horizontalCentered="1"/>
  <pageMargins left="0.39370078740157483" right="0.39370078740157483" top="0.39370078740157483" bottom="0.19685039370078741" header="0.31496062992125984" footer="0.31496062992125984"/>
  <pageSetup paperSize="9" scale="75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40DE7C-DC5F-4091-ACB1-D5461F7CCFA5}">
  <dimension ref="A1:E24"/>
  <sheetViews>
    <sheetView workbookViewId="0">
      <selection activeCell="E19" sqref="E19"/>
    </sheetView>
  </sheetViews>
  <sheetFormatPr defaultColWidth="9" defaultRowHeight="21"/>
  <cols>
    <col min="1" max="1" width="26.88671875" style="127" customWidth="1"/>
    <col min="2" max="2" width="16.44140625" style="127" bestFit="1" customWidth="1"/>
    <col min="3" max="3" width="16.109375" style="127" customWidth="1"/>
    <col min="4" max="4" width="14.44140625" style="127" customWidth="1"/>
    <col min="5" max="5" width="76" style="127" bestFit="1" customWidth="1"/>
    <col min="6" max="16384" width="9" style="127"/>
  </cols>
  <sheetData>
    <row r="1" spans="1:5" s="2" customFormat="1">
      <c r="A1" s="154" t="s">
        <v>198</v>
      </c>
      <c r="B1" s="154"/>
      <c r="C1" s="154"/>
      <c r="D1" s="154"/>
      <c r="E1" s="154"/>
    </row>
    <row r="2" spans="1:5" s="2" customFormat="1">
      <c r="A2" s="154" t="s">
        <v>18</v>
      </c>
      <c r="B2" s="154"/>
      <c r="C2" s="154"/>
      <c r="D2" s="154"/>
      <c r="E2" s="154"/>
    </row>
    <row r="3" spans="1:5" s="2" customFormat="1">
      <c r="A3" s="156" t="s">
        <v>202</v>
      </c>
      <c r="B3" s="156"/>
      <c r="C3" s="156"/>
      <c r="D3" s="156"/>
      <c r="E3" s="156"/>
    </row>
    <row r="4" spans="1:5">
      <c r="A4" s="159" t="s">
        <v>192</v>
      </c>
      <c r="B4" s="128" t="s">
        <v>126</v>
      </c>
      <c r="C4" s="159" t="s">
        <v>205</v>
      </c>
      <c r="D4" s="159"/>
      <c r="E4" s="160" t="s">
        <v>193</v>
      </c>
    </row>
    <row r="5" spans="1:5">
      <c r="A5" s="159"/>
      <c r="B5" s="129" t="s">
        <v>194</v>
      </c>
      <c r="C5" s="128" t="s">
        <v>195</v>
      </c>
      <c r="D5" s="128" t="s">
        <v>8</v>
      </c>
      <c r="E5" s="159"/>
    </row>
    <row r="6" spans="1:5">
      <c r="A6" s="159"/>
      <c r="B6" s="130" t="s">
        <v>196</v>
      </c>
      <c r="C6" s="130" t="s">
        <v>196</v>
      </c>
      <c r="D6" s="130" t="s">
        <v>197</v>
      </c>
      <c r="E6" s="159"/>
    </row>
    <row r="7" spans="1:5">
      <c r="A7" s="131" t="s">
        <v>9</v>
      </c>
      <c r="B7" s="132">
        <v>153571800</v>
      </c>
      <c r="C7" s="133">
        <v>68443477.269999996</v>
      </c>
      <c r="D7" s="134">
        <v>0.44569999999999999</v>
      </c>
      <c r="E7" s="133"/>
    </row>
    <row r="8" spans="1:5">
      <c r="A8" s="135" t="s">
        <v>10</v>
      </c>
      <c r="B8" s="136">
        <v>48960000</v>
      </c>
      <c r="C8" s="136">
        <v>21191571.27</v>
      </c>
      <c r="D8" s="137">
        <v>0.43280000000000002</v>
      </c>
      <c r="E8" s="136"/>
    </row>
    <row r="9" spans="1:5">
      <c r="A9" s="135" t="s">
        <v>11</v>
      </c>
      <c r="B9" s="136">
        <v>110544810</v>
      </c>
      <c r="C9" s="136">
        <v>25141108.100000001</v>
      </c>
      <c r="D9" s="137">
        <v>0.22739999999999999</v>
      </c>
      <c r="E9" s="136"/>
    </row>
    <row r="10" spans="1:5">
      <c r="A10" s="135" t="s">
        <v>12</v>
      </c>
      <c r="B10" s="136">
        <v>10124200</v>
      </c>
      <c r="C10" s="136">
        <v>4253933.8600000003</v>
      </c>
      <c r="D10" s="137">
        <v>0.42020000000000002</v>
      </c>
      <c r="E10" s="136"/>
    </row>
    <row r="11" spans="1:5">
      <c r="A11" s="138" t="s">
        <v>13</v>
      </c>
      <c r="B11" s="136">
        <f>B12+B14</f>
        <v>63290290</v>
      </c>
      <c r="C11" s="136">
        <f>C12+C14</f>
        <v>1360592</v>
      </c>
      <c r="D11" s="137">
        <v>0.30530000000000002</v>
      </c>
      <c r="E11" s="136"/>
    </row>
    <row r="12" spans="1:5" s="142" customFormat="1">
      <c r="A12" s="139" t="s">
        <v>189</v>
      </c>
      <c r="B12" s="140">
        <v>4457290</v>
      </c>
      <c r="C12" s="140">
        <v>1360592</v>
      </c>
      <c r="D12" s="141">
        <v>0.30530000000000002</v>
      </c>
      <c r="E12" s="149" t="s">
        <v>206</v>
      </c>
    </row>
    <row r="13" spans="1:5" s="142" customFormat="1">
      <c r="A13" s="139"/>
      <c r="B13" s="140"/>
      <c r="C13" s="140"/>
      <c r="D13" s="141"/>
      <c r="E13" s="150" t="s">
        <v>209</v>
      </c>
    </row>
    <row r="14" spans="1:5" s="142" customFormat="1">
      <c r="A14" s="139" t="s">
        <v>190</v>
      </c>
      <c r="B14" s="140">
        <v>58833000</v>
      </c>
      <c r="C14" s="143">
        <v>0</v>
      </c>
      <c r="D14" s="141">
        <v>0</v>
      </c>
      <c r="E14" s="149" t="s">
        <v>210</v>
      </c>
    </row>
    <row r="15" spans="1:5" s="142" customFormat="1">
      <c r="A15" s="139"/>
      <c r="B15" s="140"/>
      <c r="C15" s="143"/>
      <c r="D15" s="141"/>
      <c r="E15" s="150" t="s">
        <v>207</v>
      </c>
    </row>
    <row r="16" spans="1:5" s="142" customFormat="1">
      <c r="A16" s="139"/>
      <c r="B16" s="140"/>
      <c r="C16" s="143"/>
      <c r="D16" s="141"/>
      <c r="E16" s="150" t="s">
        <v>208</v>
      </c>
    </row>
    <row r="17" spans="1:5" s="142" customFormat="1">
      <c r="A17" s="139"/>
      <c r="B17" s="140"/>
      <c r="C17" s="143"/>
      <c r="D17" s="141"/>
      <c r="E17" s="150" t="s">
        <v>211</v>
      </c>
    </row>
    <row r="18" spans="1:5" s="142" customFormat="1">
      <c r="A18" s="139"/>
      <c r="B18" s="140"/>
      <c r="C18" s="143"/>
      <c r="D18" s="141"/>
      <c r="E18" s="150" t="s">
        <v>214</v>
      </c>
    </row>
    <row r="19" spans="1:5" s="142" customFormat="1">
      <c r="A19" s="139"/>
      <c r="B19" s="140"/>
      <c r="C19" s="143"/>
      <c r="D19" s="141"/>
      <c r="E19" s="150" t="s">
        <v>212</v>
      </c>
    </row>
    <row r="20" spans="1:5" s="142" customFormat="1">
      <c r="A20" s="139"/>
      <c r="B20" s="140"/>
      <c r="C20" s="143"/>
      <c r="D20" s="141"/>
      <c r="E20" s="150" t="s">
        <v>213</v>
      </c>
    </row>
    <row r="21" spans="1:5">
      <c r="A21" s="135" t="s">
        <v>14</v>
      </c>
      <c r="B21" s="136">
        <v>10443000</v>
      </c>
      <c r="C21" s="136">
        <v>2957256</v>
      </c>
      <c r="D21" s="137">
        <v>0.28320000000000001</v>
      </c>
      <c r="E21" s="136"/>
    </row>
    <row r="22" spans="1:5">
      <c r="A22" s="144" t="s">
        <v>15</v>
      </c>
      <c r="B22" s="145">
        <v>29851350</v>
      </c>
      <c r="C22" s="145">
        <v>5633054.9400000004</v>
      </c>
      <c r="D22" s="137">
        <v>0.18870000000000001</v>
      </c>
      <c r="E22" s="146"/>
    </row>
    <row r="23" spans="1:5" ht="21.6" thickBot="1">
      <c r="A23" s="147" t="s">
        <v>48</v>
      </c>
      <c r="B23" s="17">
        <f>B7+B8+B9+B10+B11+B21+B22</f>
        <v>426785450</v>
      </c>
      <c r="C23" s="17">
        <f>C7+C8+C9+C10+C11+C21+C22</f>
        <v>128980993.43999998</v>
      </c>
      <c r="D23" s="24">
        <v>0.30220000000000002</v>
      </c>
      <c r="E23" s="148"/>
    </row>
    <row r="24" spans="1:5" ht="21.6" thickTop="1">
      <c r="A24" s="157"/>
      <c r="B24" s="158"/>
      <c r="C24" s="158"/>
      <c r="D24" s="158"/>
      <c r="E24" s="158"/>
    </row>
  </sheetData>
  <mergeCells count="7">
    <mergeCell ref="A1:E1"/>
    <mergeCell ref="A2:E2"/>
    <mergeCell ref="A3:E3"/>
    <mergeCell ref="A24:E24"/>
    <mergeCell ref="A4:A6"/>
    <mergeCell ref="C4:D4"/>
    <mergeCell ref="E4:E6"/>
  </mergeCells>
  <printOptions horizontalCentered="1"/>
  <pageMargins left="0.39370078740157483" right="0.39370078740157483" top="0.39370078740157483" bottom="0.19685039370078741" header="0.31496062992125984" footer="0.31496062992125984"/>
  <pageSetup paperSize="9" scale="9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51A8EA-54AB-41F7-8416-9895757A5651}">
  <dimension ref="A1:K25"/>
  <sheetViews>
    <sheetView zoomScale="80" zoomScaleNormal="80" workbookViewId="0">
      <selection activeCell="B4" sqref="B4:D4"/>
    </sheetView>
  </sheetViews>
  <sheetFormatPr defaultColWidth="9" defaultRowHeight="21"/>
  <cols>
    <col min="1" max="1" width="31.44140625" style="1" customWidth="1"/>
    <col min="2" max="2" width="17.44140625" style="1" customWidth="1"/>
    <col min="3" max="3" width="18.33203125" style="1" customWidth="1"/>
    <col min="4" max="4" width="21.21875" style="1" customWidth="1"/>
    <col min="5" max="5" width="22.33203125" style="1" customWidth="1"/>
    <col min="6" max="6" width="16" style="1" customWidth="1"/>
    <col min="7" max="7" width="22.6640625" style="1" customWidth="1"/>
    <col min="8" max="8" width="16.33203125" style="1" customWidth="1"/>
    <col min="9" max="9" width="9" style="1"/>
    <col min="10" max="10" width="19.6640625" style="1" bestFit="1" customWidth="1"/>
    <col min="11" max="11" width="11.109375" style="1" bestFit="1" customWidth="1"/>
    <col min="12" max="16384" width="9" style="1"/>
  </cols>
  <sheetData>
    <row r="1" spans="1:11" s="2" customFormat="1">
      <c r="A1" s="154" t="s">
        <v>114</v>
      </c>
      <c r="B1" s="154"/>
      <c r="C1" s="154"/>
      <c r="D1" s="154"/>
      <c r="E1" s="154"/>
      <c r="F1" s="154"/>
      <c r="G1" s="154"/>
      <c r="H1" s="154"/>
    </row>
    <row r="2" spans="1:11" s="2" customFormat="1">
      <c r="A2" s="154" t="s">
        <v>18</v>
      </c>
      <c r="B2" s="154"/>
      <c r="C2" s="154"/>
      <c r="D2" s="154"/>
      <c r="E2" s="154"/>
      <c r="F2" s="154"/>
      <c r="G2" s="154"/>
      <c r="H2" s="154"/>
    </row>
    <row r="3" spans="1:11" s="2" customFormat="1">
      <c r="A3" s="154" t="s">
        <v>116</v>
      </c>
      <c r="B3" s="154"/>
      <c r="C3" s="154"/>
      <c r="D3" s="154"/>
      <c r="E3" s="154"/>
      <c r="F3" s="154"/>
      <c r="G3" s="154"/>
      <c r="H3" s="154"/>
    </row>
    <row r="4" spans="1:11" s="5" customFormat="1">
      <c r="A4" s="155" t="s">
        <v>0</v>
      </c>
      <c r="B4" s="155" t="s">
        <v>1</v>
      </c>
      <c r="C4" s="155"/>
      <c r="D4" s="155"/>
      <c r="E4" s="155" t="s">
        <v>3</v>
      </c>
      <c r="F4" s="155"/>
      <c r="G4" s="155" t="s">
        <v>4</v>
      </c>
      <c r="H4" s="155"/>
    </row>
    <row r="5" spans="1:11" s="5" customFormat="1" ht="42">
      <c r="A5" s="155"/>
      <c r="B5" s="6" t="s">
        <v>5</v>
      </c>
      <c r="C5" s="6" t="s">
        <v>91</v>
      </c>
      <c r="D5" s="6" t="s">
        <v>6</v>
      </c>
      <c r="E5" s="7" t="s">
        <v>7</v>
      </c>
      <c r="F5" s="7" t="s">
        <v>8</v>
      </c>
      <c r="G5" s="7" t="s">
        <v>7</v>
      </c>
      <c r="H5" s="7" t="s">
        <v>8</v>
      </c>
      <c r="J5" s="38"/>
      <c r="K5" s="38"/>
    </row>
    <row r="6" spans="1:11">
      <c r="A6" s="8" t="s">
        <v>9</v>
      </c>
      <c r="B6" s="9">
        <v>177557800</v>
      </c>
      <c r="C6" s="18">
        <v>-756000</v>
      </c>
      <c r="D6" s="18">
        <f>SUM(B6+C6)</f>
        <v>176801800</v>
      </c>
      <c r="E6" s="18">
        <v>110495566.14</v>
      </c>
      <c r="F6" s="19">
        <f>E6/D6</f>
        <v>0.62496855880426561</v>
      </c>
      <c r="G6" s="9">
        <f>SUM(D6-E6)</f>
        <v>66306233.859999999</v>
      </c>
      <c r="H6" s="22">
        <f>G6/D6</f>
        <v>0.37503144119573445</v>
      </c>
    </row>
    <row r="7" spans="1:11">
      <c r="A7" s="10" t="s">
        <v>10</v>
      </c>
      <c r="B7" s="11">
        <v>44136000</v>
      </c>
      <c r="C7" s="11">
        <v>720000</v>
      </c>
      <c r="D7" s="11">
        <f t="shared" ref="D7:D9" si="0">SUM(B7+C7)</f>
        <v>44856000</v>
      </c>
      <c r="E7" s="11">
        <v>27249024.010000002</v>
      </c>
      <c r="F7" s="21">
        <f>E7/D7</f>
        <v>0.60747779583556272</v>
      </c>
      <c r="G7" s="11">
        <f>SUM(D7-E7)</f>
        <v>17606975.989999998</v>
      </c>
      <c r="H7" s="23">
        <f>G7/D7</f>
        <v>0.39252220416443728</v>
      </c>
      <c r="J7" s="4" t="s">
        <v>92</v>
      </c>
    </row>
    <row r="8" spans="1:11">
      <c r="A8" s="10" t="s">
        <v>11</v>
      </c>
      <c r="B8" s="11">
        <v>102322150</v>
      </c>
      <c r="C8" s="11">
        <v>-17557090</v>
      </c>
      <c r="D8" s="11">
        <f>SUM(B8+C8)</f>
        <v>84765060</v>
      </c>
      <c r="E8" s="11">
        <v>41620037.979999997</v>
      </c>
      <c r="F8" s="21">
        <f>E8/D8</f>
        <v>0.49100464247887038</v>
      </c>
      <c r="G8" s="11">
        <f>SUM(D8-E8)</f>
        <v>43145022.020000003</v>
      </c>
      <c r="H8" s="23">
        <f>G8/D8</f>
        <v>0.50899535752112957</v>
      </c>
      <c r="J8" s="7" t="s">
        <v>3</v>
      </c>
      <c r="K8" s="7" t="s">
        <v>4</v>
      </c>
    </row>
    <row r="9" spans="1:11">
      <c r="A9" s="10" t="s">
        <v>12</v>
      </c>
      <c r="B9" s="11">
        <v>7961700</v>
      </c>
      <c r="C9" s="11">
        <v>0</v>
      </c>
      <c r="D9" s="11">
        <f t="shared" si="0"/>
        <v>7961700</v>
      </c>
      <c r="E9" s="11">
        <v>6037370.0700000003</v>
      </c>
      <c r="F9" s="21">
        <f>E9/D9</f>
        <v>0.75830162779305932</v>
      </c>
      <c r="G9" s="11">
        <f>SUM(D9-E9)</f>
        <v>1924329.9299999997</v>
      </c>
      <c r="H9" s="23">
        <f>G9/D9</f>
        <v>0.24169837220694068</v>
      </c>
      <c r="J9" s="92">
        <f>F16</f>
        <v>0.58288911682916789</v>
      </c>
      <c r="K9" s="96">
        <f>H16</f>
        <v>0.41711088317083206</v>
      </c>
    </row>
    <row r="10" spans="1:11">
      <c r="A10" s="12" t="s">
        <v>13</v>
      </c>
      <c r="B10" s="11">
        <f>SUM(B12:B13)</f>
        <v>10902450</v>
      </c>
      <c r="C10" s="11">
        <f>SUM(C12:C13)</f>
        <v>1005230</v>
      </c>
      <c r="D10" s="11">
        <f>SUM(D12:D13)</f>
        <v>11907680</v>
      </c>
      <c r="E10" s="11">
        <f>SUM(E12:E13)</f>
        <v>4259995</v>
      </c>
      <c r="F10" s="21">
        <f>E10/D10</f>
        <v>0.35775188785724843</v>
      </c>
      <c r="G10" s="11">
        <f>SUM(D10-E10)</f>
        <v>7647685</v>
      </c>
      <c r="H10" s="23">
        <f>G10/D10</f>
        <v>0.64224811214275157</v>
      </c>
      <c r="J10" s="94"/>
      <c r="K10" s="94"/>
    </row>
    <row r="11" spans="1:11">
      <c r="A11" s="12" t="s">
        <v>120</v>
      </c>
      <c r="B11" s="11"/>
      <c r="C11" s="11"/>
      <c r="D11" s="11"/>
      <c r="E11" s="11"/>
      <c r="F11" s="21"/>
      <c r="G11" s="11"/>
      <c r="H11" s="23"/>
      <c r="J11" s="7" t="s">
        <v>99</v>
      </c>
      <c r="K11" s="7" t="s">
        <v>4</v>
      </c>
    </row>
    <row r="12" spans="1:11" s="13" customFormat="1">
      <c r="A12" s="107" t="s">
        <v>119</v>
      </c>
      <c r="B12" s="105">
        <v>3129450</v>
      </c>
      <c r="C12" s="105">
        <v>1869850</v>
      </c>
      <c r="D12" s="105">
        <f>SUM(B12+C12)</f>
        <v>4999300</v>
      </c>
      <c r="E12" s="105">
        <v>3243590</v>
      </c>
      <c r="F12" s="104">
        <f>E12/D12</f>
        <v>0.64880883323665317</v>
      </c>
      <c r="G12" s="105">
        <f>SUM(D12-E12)</f>
        <v>1755710</v>
      </c>
      <c r="H12" s="106">
        <f>G12/D12</f>
        <v>0.35119116676334688</v>
      </c>
      <c r="J12" s="93">
        <f>F10</f>
        <v>0.35775188785724843</v>
      </c>
      <c r="K12" s="95">
        <f>H10</f>
        <v>0.64224811214275157</v>
      </c>
    </row>
    <row r="13" spans="1:11" s="13" customFormat="1">
      <c r="A13" s="107" t="s">
        <v>115</v>
      </c>
      <c r="B13" s="105">
        <v>7773000</v>
      </c>
      <c r="C13" s="108">
        <v>-864620</v>
      </c>
      <c r="D13" s="105">
        <f>SUM(B13:C13)</f>
        <v>6908380</v>
      </c>
      <c r="E13" s="105">
        <v>1016405</v>
      </c>
      <c r="F13" s="104">
        <f>E13/D13</f>
        <v>0.14712638853103044</v>
      </c>
      <c r="G13" s="105">
        <f>SUM(D13-E13)</f>
        <v>5891975</v>
      </c>
      <c r="H13" s="106">
        <f>G13/D13</f>
        <v>0.85287361146896956</v>
      </c>
    </row>
    <row r="14" spans="1:11">
      <c r="A14" s="10" t="s">
        <v>14</v>
      </c>
      <c r="B14" s="11">
        <v>11274600</v>
      </c>
      <c r="C14" s="11">
        <v>0</v>
      </c>
      <c r="D14" s="11">
        <f>SUM(B14)</f>
        <v>11274600</v>
      </c>
      <c r="E14" s="11">
        <v>4484341</v>
      </c>
      <c r="F14" s="21">
        <f>E14/D14</f>
        <v>0.39773836765827614</v>
      </c>
      <c r="G14" s="11">
        <f>SUM(D14-E14)</f>
        <v>6790259</v>
      </c>
      <c r="H14" s="23">
        <f>G14/D14</f>
        <v>0.60226163234172392</v>
      </c>
      <c r="J14" s="4" t="s">
        <v>92</v>
      </c>
    </row>
    <row r="15" spans="1:11">
      <c r="A15" s="14" t="s">
        <v>15</v>
      </c>
      <c r="B15" s="15">
        <v>53820100</v>
      </c>
      <c r="C15" s="15">
        <v>10263100</v>
      </c>
      <c r="D15" s="11">
        <f>SUM(B15+C15)</f>
        <v>64083200</v>
      </c>
      <c r="E15" s="20">
        <v>39971102.890000001</v>
      </c>
      <c r="F15" s="21">
        <f>E15/D15</f>
        <v>0.623737623745381</v>
      </c>
      <c r="G15" s="15">
        <f>SUM(D15-E15)</f>
        <v>24112097.109999999</v>
      </c>
      <c r="H15" s="23">
        <f>G15/D15</f>
        <v>0.376262376254619</v>
      </c>
      <c r="J15" s="7" t="s">
        <v>3</v>
      </c>
      <c r="K15" s="7" t="s">
        <v>100</v>
      </c>
    </row>
    <row r="16" spans="1:11" s="4" customFormat="1" ht="21.6" thickBot="1">
      <c r="A16" s="16" t="s">
        <v>16</v>
      </c>
      <c r="B16" s="17">
        <f>SUM(B6:B15)-B10</f>
        <v>407974800</v>
      </c>
      <c r="C16" s="17">
        <f>SUM(C6:C15)-C10</f>
        <v>-6324760</v>
      </c>
      <c r="D16" s="17">
        <f>SUM(D6:D15)-D10</f>
        <v>401650040</v>
      </c>
      <c r="E16" s="17">
        <f>SUM(E6:E15)-E10</f>
        <v>234117437.08999997</v>
      </c>
      <c r="F16" s="24">
        <f>E16/D16</f>
        <v>0.58288911682916789</v>
      </c>
      <c r="G16" s="17">
        <f>SUM(G6:G15)-G10</f>
        <v>167532602.91000003</v>
      </c>
      <c r="H16" s="24">
        <f>G16/D16</f>
        <v>0.41711088317083206</v>
      </c>
      <c r="J16" s="92">
        <f>F16</f>
        <v>0.58288911682916789</v>
      </c>
      <c r="K16" s="96">
        <f>F19</f>
        <v>0.77</v>
      </c>
    </row>
    <row r="17" spans="1:11" s="4" customFormat="1" ht="21.6" thickTop="1">
      <c r="A17" s="25"/>
      <c r="B17" s="26"/>
      <c r="C17" s="26"/>
      <c r="D17" s="26"/>
      <c r="E17" s="26"/>
      <c r="F17" s="27"/>
      <c r="G17" s="26"/>
      <c r="H17" s="27"/>
      <c r="J17" s="94"/>
      <c r="K17" s="94"/>
    </row>
    <row r="18" spans="1:11">
      <c r="B18" s="151" t="s">
        <v>17</v>
      </c>
      <c r="C18" s="151"/>
      <c r="D18" s="151"/>
      <c r="E18" s="151"/>
      <c r="F18" s="151"/>
      <c r="G18" s="151"/>
      <c r="H18" s="102"/>
      <c r="J18" s="7" t="s">
        <v>99</v>
      </c>
      <c r="K18" s="7" t="s">
        <v>100</v>
      </c>
    </row>
    <row r="19" spans="1:11">
      <c r="B19" s="152" t="s">
        <v>117</v>
      </c>
      <c r="C19" s="152"/>
      <c r="D19" s="152"/>
      <c r="E19" s="152"/>
      <c r="F19" s="109">
        <v>0.77</v>
      </c>
      <c r="G19" s="103"/>
      <c r="H19" s="36"/>
      <c r="J19" s="93">
        <f>F10</f>
        <v>0.35775188785724843</v>
      </c>
      <c r="K19" s="95">
        <f>F19</f>
        <v>0.77</v>
      </c>
    </row>
    <row r="20" spans="1:11">
      <c r="B20" s="153" t="s">
        <v>118</v>
      </c>
      <c r="C20" s="153"/>
      <c r="D20" s="153"/>
      <c r="E20" s="153"/>
      <c r="F20" s="109">
        <f>F16</f>
        <v>0.58288911682916789</v>
      </c>
      <c r="G20" s="103"/>
      <c r="H20" s="37"/>
      <c r="J20" s="3"/>
    </row>
    <row r="21" spans="1:11">
      <c r="D21" s="4"/>
      <c r="E21" s="65"/>
      <c r="F21" s="66"/>
      <c r="G21" s="4"/>
      <c r="J21" s="3"/>
    </row>
    <row r="23" spans="1:11">
      <c r="J23" s="3"/>
    </row>
    <row r="24" spans="1:11">
      <c r="J24" s="3"/>
    </row>
    <row r="25" spans="1:11">
      <c r="J25" s="3"/>
    </row>
  </sheetData>
  <mergeCells count="10">
    <mergeCell ref="B18:G18"/>
    <mergeCell ref="B19:E19"/>
    <mergeCell ref="B20:E20"/>
    <mergeCell ref="A1:H1"/>
    <mergeCell ref="A2:H2"/>
    <mergeCell ref="A3:H3"/>
    <mergeCell ref="A4:A5"/>
    <mergeCell ref="B4:D4"/>
    <mergeCell ref="E4:F4"/>
    <mergeCell ref="G4:H4"/>
  </mergeCells>
  <printOptions horizontalCentered="1"/>
  <pageMargins left="0.39370078740157483" right="0.39370078740157483" top="0.39370078740157483" bottom="0.19685039370078741" header="0.31496062992125984" footer="0.31496062992125984"/>
  <pageSetup paperSize="9" scale="75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29019C-C040-4F07-8B3C-1A61C1E42EA0}">
  <dimension ref="A1:K25"/>
  <sheetViews>
    <sheetView zoomScale="80" zoomScaleNormal="80" workbookViewId="0">
      <selection activeCell="H19" sqref="H19"/>
    </sheetView>
  </sheetViews>
  <sheetFormatPr defaultColWidth="9" defaultRowHeight="21"/>
  <cols>
    <col min="1" max="1" width="31.44140625" style="1" customWidth="1"/>
    <col min="2" max="2" width="17.44140625" style="1" customWidth="1"/>
    <col min="3" max="3" width="18.33203125" style="1" customWidth="1"/>
    <col min="4" max="4" width="21.21875" style="1" customWidth="1"/>
    <col min="5" max="5" width="22.33203125" style="1" customWidth="1"/>
    <col min="6" max="6" width="16" style="1" customWidth="1"/>
    <col min="7" max="7" width="22.6640625" style="1" customWidth="1"/>
    <col min="8" max="8" width="16.33203125" style="1" customWidth="1"/>
    <col min="9" max="9" width="9" style="1"/>
    <col min="10" max="10" width="19.6640625" style="1" bestFit="1" customWidth="1"/>
    <col min="11" max="11" width="11.109375" style="1" bestFit="1" customWidth="1"/>
    <col min="12" max="16384" width="9" style="1"/>
  </cols>
  <sheetData>
    <row r="1" spans="1:11" s="2" customFormat="1">
      <c r="A1" s="154" t="s">
        <v>114</v>
      </c>
      <c r="B1" s="154"/>
      <c r="C1" s="154"/>
      <c r="D1" s="154"/>
      <c r="E1" s="154"/>
      <c r="F1" s="154"/>
      <c r="G1" s="154"/>
      <c r="H1" s="154"/>
    </row>
    <row r="2" spans="1:11" s="2" customFormat="1">
      <c r="A2" s="154" t="s">
        <v>18</v>
      </c>
      <c r="B2" s="154"/>
      <c r="C2" s="154"/>
      <c r="D2" s="154"/>
      <c r="E2" s="154"/>
      <c r="F2" s="154"/>
      <c r="G2" s="154"/>
      <c r="H2" s="154"/>
    </row>
    <row r="3" spans="1:11" s="2" customFormat="1">
      <c r="A3" s="154" t="s">
        <v>187</v>
      </c>
      <c r="B3" s="154"/>
      <c r="C3" s="154"/>
      <c r="D3" s="154"/>
      <c r="E3" s="154"/>
      <c r="F3" s="154"/>
      <c r="G3" s="154"/>
      <c r="H3" s="154"/>
    </row>
    <row r="4" spans="1:11" s="5" customFormat="1">
      <c r="A4" s="155" t="s">
        <v>0</v>
      </c>
      <c r="B4" s="155" t="s">
        <v>1</v>
      </c>
      <c r="C4" s="155"/>
      <c r="D4" s="155"/>
      <c r="E4" s="155" t="s">
        <v>3</v>
      </c>
      <c r="F4" s="155"/>
      <c r="G4" s="155" t="s">
        <v>4</v>
      </c>
      <c r="H4" s="155"/>
    </row>
    <row r="5" spans="1:11" s="5" customFormat="1" ht="42">
      <c r="A5" s="155"/>
      <c r="B5" s="6" t="s">
        <v>5</v>
      </c>
      <c r="C5" s="6" t="s">
        <v>91</v>
      </c>
      <c r="D5" s="6" t="s">
        <v>6</v>
      </c>
      <c r="E5" s="7" t="s">
        <v>7</v>
      </c>
      <c r="F5" s="7" t="s">
        <v>8</v>
      </c>
      <c r="G5" s="7" t="s">
        <v>7</v>
      </c>
      <c r="H5" s="7" t="s">
        <v>8</v>
      </c>
      <c r="J5" s="38"/>
      <c r="K5" s="38"/>
    </row>
    <row r="6" spans="1:11">
      <c r="A6" s="8" t="s">
        <v>9</v>
      </c>
      <c r="B6" s="9">
        <v>177557800</v>
      </c>
      <c r="C6" s="18">
        <v>-29480052</v>
      </c>
      <c r="D6" s="18">
        <f>SUM(B6+C6)</f>
        <v>148077748</v>
      </c>
      <c r="E6" s="18">
        <v>147933462.16999999</v>
      </c>
      <c r="F6" s="19">
        <f>E6/D6</f>
        <v>0.99902560761526427</v>
      </c>
      <c r="G6" s="9">
        <f>SUM(D6-E6)</f>
        <v>144285.83000001311</v>
      </c>
      <c r="H6" s="22">
        <f>G6/D6</f>
        <v>9.743923847357073E-4</v>
      </c>
    </row>
    <row r="7" spans="1:11">
      <c r="A7" s="10" t="s">
        <v>10</v>
      </c>
      <c r="B7" s="11">
        <v>44136000</v>
      </c>
      <c r="C7" s="11">
        <v>-7244484</v>
      </c>
      <c r="D7" s="11">
        <f t="shared" ref="D7" si="0">SUM(B7+C7)</f>
        <v>36891516</v>
      </c>
      <c r="E7" s="11">
        <v>36828994.090000004</v>
      </c>
      <c r="F7" s="21">
        <f>E7/D7</f>
        <v>0.99830524964059497</v>
      </c>
      <c r="G7" s="11">
        <f>SUM(D7-E7)</f>
        <v>62521.909999996424</v>
      </c>
      <c r="H7" s="23">
        <f>G7/D7</f>
        <v>1.6947503594050303E-3</v>
      </c>
      <c r="J7" s="4" t="s">
        <v>92</v>
      </c>
    </row>
    <row r="8" spans="1:11">
      <c r="A8" s="10" t="s">
        <v>11</v>
      </c>
      <c r="B8" s="11">
        <v>102322150</v>
      </c>
      <c r="C8" s="11">
        <v>-33104665</v>
      </c>
      <c r="D8" s="11">
        <f>SUM(B8+C8)</f>
        <v>69217485</v>
      </c>
      <c r="E8" s="11">
        <v>67042615.049999997</v>
      </c>
      <c r="F8" s="21">
        <f>E8/D8</f>
        <v>0.96857918270217414</v>
      </c>
      <c r="G8" s="11">
        <f>SUM(D8-E8)</f>
        <v>2174869.950000003</v>
      </c>
      <c r="H8" s="23">
        <f>G8/D8</f>
        <v>3.1420817297825872E-2</v>
      </c>
      <c r="J8" s="7" t="s">
        <v>3</v>
      </c>
      <c r="K8" s="7" t="s">
        <v>4</v>
      </c>
    </row>
    <row r="9" spans="1:11">
      <c r="A9" s="10" t="s">
        <v>12</v>
      </c>
      <c r="B9" s="11">
        <v>7961700</v>
      </c>
      <c r="C9" s="11">
        <v>573058</v>
      </c>
      <c r="D9" s="11">
        <f>SUM(B9+C9)</f>
        <v>8534758</v>
      </c>
      <c r="E9" s="11">
        <v>8412252.5099999998</v>
      </c>
      <c r="F9" s="21">
        <f>E9/D9</f>
        <v>0.98564628428831835</v>
      </c>
      <c r="G9" s="11">
        <f>SUM(D9-E9)</f>
        <v>122505.49000000022</v>
      </c>
      <c r="H9" s="23">
        <f>G9/D9</f>
        <v>1.4353715711681599E-2</v>
      </c>
      <c r="J9" s="92">
        <f>F16</f>
        <v>0.95516226535696991</v>
      </c>
      <c r="K9" s="96">
        <f>H16</f>
        <v>4.4837734643030161E-2</v>
      </c>
    </row>
    <row r="10" spans="1:11">
      <c r="A10" s="12" t="s">
        <v>13</v>
      </c>
      <c r="B10" s="11">
        <f>SUM(B12:B13)</f>
        <v>10902450</v>
      </c>
      <c r="C10" s="11">
        <f>SUM(C12:C13)</f>
        <v>707035</v>
      </c>
      <c r="D10" s="11">
        <f>SUM(D12:D13)</f>
        <v>11609485</v>
      </c>
      <c r="E10" s="11">
        <f>SUM(E12:E13)</f>
        <v>10259485</v>
      </c>
      <c r="F10" s="21">
        <f>E10/D10</f>
        <v>0.88371577206051777</v>
      </c>
      <c r="G10" s="11">
        <f>SUM(D10-E10)</f>
        <v>1350000</v>
      </c>
      <c r="H10" s="23">
        <f>G10/D10</f>
        <v>0.11628422793948225</v>
      </c>
      <c r="J10" s="94"/>
      <c r="K10" s="94"/>
    </row>
    <row r="11" spans="1:11">
      <c r="A11" s="12" t="s">
        <v>120</v>
      </c>
      <c r="B11" s="11"/>
      <c r="C11" s="11"/>
      <c r="D11" s="11"/>
      <c r="E11" s="11"/>
      <c r="F11" s="21"/>
      <c r="G11" s="11"/>
      <c r="H11" s="23"/>
      <c r="J11" s="7" t="s">
        <v>99</v>
      </c>
      <c r="K11" s="7" t="s">
        <v>4</v>
      </c>
    </row>
    <row r="12" spans="1:11" s="13" customFormat="1">
      <c r="A12" s="107" t="s">
        <v>119</v>
      </c>
      <c r="B12" s="105">
        <v>3129450</v>
      </c>
      <c r="C12" s="105">
        <v>1862330</v>
      </c>
      <c r="D12" s="105">
        <f>SUM(B12+C12)</f>
        <v>4991780</v>
      </c>
      <c r="E12" s="105">
        <v>4991780</v>
      </c>
      <c r="F12" s="104">
        <f>E12/D12</f>
        <v>1</v>
      </c>
      <c r="G12" s="105">
        <f>SUM(D12-E12)</f>
        <v>0</v>
      </c>
      <c r="H12" s="106">
        <f>G12/D12</f>
        <v>0</v>
      </c>
      <c r="J12" s="93">
        <f>F10</f>
        <v>0.88371577206051777</v>
      </c>
      <c r="K12" s="95">
        <f>H10</f>
        <v>0.11628422793948225</v>
      </c>
    </row>
    <row r="13" spans="1:11" s="13" customFormat="1">
      <c r="A13" s="107" t="s">
        <v>115</v>
      </c>
      <c r="B13" s="105">
        <v>7773000</v>
      </c>
      <c r="C13" s="108">
        <v>-1155295</v>
      </c>
      <c r="D13" s="105">
        <f>SUM(B13:C13)</f>
        <v>6617705</v>
      </c>
      <c r="E13" s="105">
        <v>5267705</v>
      </c>
      <c r="F13" s="104">
        <f>E13/D13</f>
        <v>0.7960017861176949</v>
      </c>
      <c r="G13" s="105">
        <f>SUM(D13-E13)</f>
        <v>1350000</v>
      </c>
      <c r="H13" s="106">
        <f>G13/D13</f>
        <v>0.20399821388230513</v>
      </c>
    </row>
    <row r="14" spans="1:11">
      <c r="A14" s="10" t="s">
        <v>14</v>
      </c>
      <c r="B14" s="11">
        <v>11274600</v>
      </c>
      <c r="C14" s="11">
        <v>-2127130</v>
      </c>
      <c r="D14" s="11">
        <f>SUM(B14+C14)</f>
        <v>9147470</v>
      </c>
      <c r="E14" s="11">
        <v>7673872</v>
      </c>
      <c r="F14" s="21">
        <f>E14/D14</f>
        <v>0.83890649545721385</v>
      </c>
      <c r="G14" s="11">
        <f>SUM(D14-E14)</f>
        <v>1473598</v>
      </c>
      <c r="H14" s="23">
        <f>G14/D14</f>
        <v>0.16109350454278615</v>
      </c>
      <c r="J14" s="4" t="s">
        <v>92</v>
      </c>
    </row>
    <row r="15" spans="1:11">
      <c r="A15" s="14" t="s">
        <v>15</v>
      </c>
      <c r="B15" s="15">
        <v>53820100</v>
      </c>
      <c r="C15" s="15">
        <v>4757198</v>
      </c>
      <c r="D15" s="11">
        <f>SUM(B15+C15)</f>
        <v>58577298</v>
      </c>
      <c r="E15" s="20">
        <v>48568073.780000001</v>
      </c>
      <c r="F15" s="21">
        <f>E15/D15</f>
        <v>0.82912792904855392</v>
      </c>
      <c r="G15" s="15">
        <f>SUM(D15-E15)</f>
        <v>10009224.219999999</v>
      </c>
      <c r="H15" s="23">
        <f>G15/D15</f>
        <v>0.17087207095144605</v>
      </c>
      <c r="J15" s="7" t="s">
        <v>3</v>
      </c>
      <c r="K15" s="7" t="s">
        <v>100</v>
      </c>
    </row>
    <row r="16" spans="1:11" s="4" customFormat="1" ht="21.6" thickBot="1">
      <c r="A16" s="16" t="s">
        <v>16</v>
      </c>
      <c r="B16" s="17">
        <f>SUM(B6:B15)-B10</f>
        <v>407974800</v>
      </c>
      <c r="C16" s="17">
        <f>SUM(C6:C15)-C10</f>
        <v>-65919040</v>
      </c>
      <c r="D16" s="17">
        <f>SUM(D6:D15)-D10</f>
        <v>342055760</v>
      </c>
      <c r="E16" s="17">
        <f>SUM(E6:E15)-E10</f>
        <v>326718754.60000002</v>
      </c>
      <c r="F16" s="24">
        <f>E16/D16</f>
        <v>0.95516226535696991</v>
      </c>
      <c r="G16" s="17">
        <f>SUM(G6:G15)-G10</f>
        <v>15337005.400000012</v>
      </c>
      <c r="H16" s="24">
        <f>G16/D16</f>
        <v>4.4837734643030161E-2</v>
      </c>
      <c r="J16" s="92">
        <f>F16</f>
        <v>0.95516226535696991</v>
      </c>
      <c r="K16" s="96">
        <f>F19</f>
        <v>1</v>
      </c>
    </row>
    <row r="17" spans="1:11" s="4" customFormat="1" ht="21.6" thickTop="1">
      <c r="A17" s="25"/>
      <c r="B17" s="26"/>
      <c r="C17" s="26"/>
      <c r="D17" s="26"/>
      <c r="E17" s="26"/>
      <c r="F17" s="27"/>
      <c r="G17" s="26"/>
      <c r="H17" s="27"/>
      <c r="J17" s="94"/>
      <c r="K17" s="94"/>
    </row>
    <row r="18" spans="1:11">
      <c r="B18" s="151" t="s">
        <v>17</v>
      </c>
      <c r="C18" s="151"/>
      <c r="D18" s="151"/>
      <c r="E18" s="151"/>
      <c r="F18" s="151"/>
      <c r="G18" s="151"/>
      <c r="H18" s="102"/>
      <c r="J18" s="7" t="s">
        <v>99</v>
      </c>
      <c r="K18" s="7" t="s">
        <v>100</v>
      </c>
    </row>
    <row r="19" spans="1:11">
      <c r="B19" s="152" t="s">
        <v>186</v>
      </c>
      <c r="C19" s="152"/>
      <c r="D19" s="152"/>
      <c r="E19" s="152"/>
      <c r="F19" s="109">
        <v>1</v>
      </c>
      <c r="G19" s="103"/>
      <c r="H19" s="36"/>
      <c r="J19" s="93">
        <f>F10</f>
        <v>0.88371577206051777</v>
      </c>
      <c r="K19" s="95">
        <f>F19</f>
        <v>1</v>
      </c>
    </row>
    <row r="20" spans="1:11">
      <c r="B20" s="153" t="s">
        <v>188</v>
      </c>
      <c r="C20" s="153"/>
      <c r="D20" s="153"/>
      <c r="E20" s="153"/>
      <c r="F20" s="109">
        <f>F16</f>
        <v>0.95516226535696991</v>
      </c>
      <c r="G20" s="103"/>
      <c r="H20" s="37"/>
      <c r="J20" s="3"/>
    </row>
    <row r="21" spans="1:11">
      <c r="D21" s="4"/>
      <c r="E21" s="65"/>
      <c r="F21" s="66"/>
      <c r="G21" s="4"/>
      <c r="J21" s="3"/>
    </row>
    <row r="23" spans="1:11">
      <c r="J23" s="3"/>
    </row>
    <row r="24" spans="1:11">
      <c r="J24" s="3"/>
    </row>
    <row r="25" spans="1:11">
      <c r="J25" s="3"/>
    </row>
  </sheetData>
  <mergeCells count="10">
    <mergeCell ref="B18:G18"/>
    <mergeCell ref="B19:E19"/>
    <mergeCell ref="B20:E20"/>
    <mergeCell ref="A1:H1"/>
    <mergeCell ref="A2:H2"/>
    <mergeCell ref="A3:H3"/>
    <mergeCell ref="A4:A5"/>
    <mergeCell ref="B4:D4"/>
    <mergeCell ref="E4:F4"/>
    <mergeCell ref="G4:H4"/>
  </mergeCells>
  <printOptions horizontalCentered="1"/>
  <pageMargins left="0.39370078740157483" right="0.39370078740157483" top="0.39370078740157483" bottom="0.19685039370078741" header="0.31496062992125984" footer="0.31496062992125984"/>
  <pageSetup paperSize="9" scale="75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CDB13-D269-4B89-A5B4-891EA09AEC11}">
  <dimension ref="A1:G189"/>
  <sheetViews>
    <sheetView topLeftCell="A45" workbookViewId="0">
      <selection activeCell="I17" sqref="I17"/>
    </sheetView>
  </sheetViews>
  <sheetFormatPr defaultColWidth="9" defaultRowHeight="21"/>
  <cols>
    <col min="1" max="1" width="7.88671875" style="2" customWidth="1"/>
    <col min="2" max="2" width="38.6640625" style="1" customWidth="1"/>
    <col min="3" max="3" width="12.6640625" style="1" bestFit="1" customWidth="1"/>
    <col min="4" max="4" width="11.77734375" style="1" customWidth="1"/>
    <col min="5" max="5" width="10.88671875" style="1" customWidth="1"/>
    <col min="6" max="6" width="13.109375" style="1" customWidth="1"/>
    <col min="7" max="7" width="23.6640625" style="1" customWidth="1"/>
    <col min="8" max="16384" width="9" style="1"/>
  </cols>
  <sheetData>
    <row r="1" spans="1:7" s="5" customFormat="1">
      <c r="A1" s="154" t="s">
        <v>121</v>
      </c>
      <c r="B1" s="154"/>
      <c r="C1" s="154"/>
      <c r="D1" s="154"/>
      <c r="E1" s="154"/>
      <c r="F1" s="154"/>
      <c r="G1" s="154"/>
    </row>
    <row r="2" spans="1:7" s="5" customFormat="1">
      <c r="A2" s="154" t="s">
        <v>122</v>
      </c>
      <c r="B2" s="154"/>
      <c r="C2" s="154"/>
      <c r="D2" s="154"/>
      <c r="E2" s="154"/>
      <c r="F2" s="154"/>
      <c r="G2" s="154"/>
    </row>
    <row r="3" spans="1:7" s="5" customFormat="1">
      <c r="A3" s="154" t="s">
        <v>116</v>
      </c>
      <c r="B3" s="154"/>
      <c r="C3" s="154"/>
      <c r="D3" s="154"/>
      <c r="E3" s="154"/>
      <c r="F3" s="154"/>
      <c r="G3" s="154"/>
    </row>
    <row r="4" spans="1:7" s="5" customFormat="1">
      <c r="A4" s="155" t="s">
        <v>123</v>
      </c>
      <c r="B4" s="155" t="s">
        <v>97</v>
      </c>
      <c r="C4" s="155" t="s">
        <v>124</v>
      </c>
      <c r="D4" s="155"/>
      <c r="E4" s="155"/>
      <c r="F4" s="155"/>
      <c r="G4" s="155" t="s">
        <v>127</v>
      </c>
    </row>
    <row r="5" spans="1:7" s="5" customFormat="1">
      <c r="A5" s="155"/>
      <c r="B5" s="155"/>
      <c r="C5" s="7" t="s">
        <v>126</v>
      </c>
      <c r="D5" s="7" t="s">
        <v>130</v>
      </c>
      <c r="E5" s="7" t="s">
        <v>125</v>
      </c>
      <c r="F5" s="7" t="s">
        <v>4</v>
      </c>
      <c r="G5" s="155"/>
    </row>
    <row r="6" spans="1:7">
      <c r="A6" s="121"/>
      <c r="B6" s="122" t="s">
        <v>129</v>
      </c>
      <c r="C6" s="123"/>
      <c r="D6" s="123"/>
      <c r="E6" s="123"/>
      <c r="F6" s="123"/>
      <c r="G6" s="123"/>
    </row>
    <row r="7" spans="1:7">
      <c r="A7" s="111"/>
      <c r="B7" s="112" t="s">
        <v>40</v>
      </c>
      <c r="C7" s="113"/>
      <c r="D7" s="113"/>
      <c r="E7" s="113"/>
      <c r="F7" s="113"/>
      <c r="G7" s="113"/>
    </row>
    <row r="8" spans="1:7">
      <c r="A8" s="111">
        <v>1</v>
      </c>
      <c r="B8" s="113" t="s">
        <v>128</v>
      </c>
      <c r="C8" s="114">
        <v>251500</v>
      </c>
      <c r="D8" s="114">
        <v>0</v>
      </c>
      <c r="E8" s="114">
        <v>51024</v>
      </c>
      <c r="F8" s="114">
        <f>SUM(C8-D8-E8)</f>
        <v>200476</v>
      </c>
      <c r="G8" s="113" t="s">
        <v>134</v>
      </c>
    </row>
    <row r="9" spans="1:7">
      <c r="A9" s="111">
        <v>2</v>
      </c>
      <c r="B9" s="113" t="s">
        <v>131</v>
      </c>
      <c r="C9" s="114">
        <v>92000</v>
      </c>
      <c r="D9" s="114">
        <v>0</v>
      </c>
      <c r="E9" s="114">
        <v>14250</v>
      </c>
      <c r="F9" s="114">
        <f t="shared" ref="F9:F61" si="0">SUM(C9-D9-E9)</f>
        <v>77750</v>
      </c>
      <c r="G9" s="113" t="s">
        <v>135</v>
      </c>
    </row>
    <row r="10" spans="1:7">
      <c r="A10" s="111">
        <v>3</v>
      </c>
      <c r="B10" s="113" t="s">
        <v>132</v>
      </c>
      <c r="C10" s="114">
        <v>120000</v>
      </c>
      <c r="D10" s="114">
        <v>0</v>
      </c>
      <c r="E10" s="114">
        <v>68810</v>
      </c>
      <c r="F10" s="114">
        <f t="shared" si="0"/>
        <v>51190</v>
      </c>
      <c r="G10" s="113" t="s">
        <v>136</v>
      </c>
    </row>
    <row r="11" spans="1:7">
      <c r="A11" s="111"/>
      <c r="B11" s="112" t="s">
        <v>45</v>
      </c>
      <c r="C11" s="114"/>
      <c r="D11" s="114"/>
      <c r="E11" s="114"/>
      <c r="F11" s="114"/>
      <c r="G11" s="113"/>
    </row>
    <row r="12" spans="1:7" s="2" customFormat="1" ht="42">
      <c r="A12" s="111">
        <v>4</v>
      </c>
      <c r="B12" s="115" t="s">
        <v>137</v>
      </c>
      <c r="C12" s="57">
        <v>41500</v>
      </c>
      <c r="D12" s="57">
        <v>0</v>
      </c>
      <c r="E12" s="57">
        <v>0</v>
      </c>
      <c r="F12" s="57">
        <f t="shared" si="0"/>
        <v>41500</v>
      </c>
      <c r="G12" s="116" t="s">
        <v>138</v>
      </c>
    </row>
    <row r="13" spans="1:7" s="2" customFormat="1" ht="63">
      <c r="A13" s="111">
        <v>5</v>
      </c>
      <c r="B13" s="115" t="s">
        <v>164</v>
      </c>
      <c r="C13" s="57">
        <v>105100</v>
      </c>
      <c r="D13" s="57">
        <v>0</v>
      </c>
      <c r="E13" s="57">
        <v>0</v>
      </c>
      <c r="F13" s="57">
        <f t="shared" si="0"/>
        <v>105100</v>
      </c>
      <c r="G13" s="116" t="s">
        <v>165</v>
      </c>
    </row>
    <row r="14" spans="1:7">
      <c r="A14" s="111"/>
      <c r="B14" s="112"/>
      <c r="C14" s="114"/>
      <c r="D14" s="114"/>
      <c r="E14" s="114"/>
      <c r="F14" s="114"/>
      <c r="G14" s="113"/>
    </row>
    <row r="15" spans="1:7">
      <c r="A15" s="121"/>
      <c r="B15" s="122" t="s">
        <v>133</v>
      </c>
      <c r="C15" s="124"/>
      <c r="D15" s="124"/>
      <c r="E15" s="124"/>
      <c r="F15" s="124"/>
      <c r="G15" s="123"/>
    </row>
    <row r="16" spans="1:7">
      <c r="A16" s="111"/>
      <c r="B16" s="112" t="s">
        <v>40</v>
      </c>
      <c r="C16" s="113"/>
      <c r="D16" s="113"/>
      <c r="E16" s="113"/>
      <c r="F16" s="113"/>
      <c r="G16" s="113"/>
    </row>
    <row r="17" spans="1:7">
      <c r="A17" s="111">
        <v>6</v>
      </c>
      <c r="B17" s="113" t="s">
        <v>128</v>
      </c>
      <c r="C17" s="114">
        <v>332000</v>
      </c>
      <c r="D17" s="114">
        <v>24844</v>
      </c>
      <c r="E17" s="114">
        <v>14000</v>
      </c>
      <c r="F17" s="114">
        <f t="shared" si="0"/>
        <v>293156</v>
      </c>
      <c r="G17" s="113" t="s">
        <v>139</v>
      </c>
    </row>
    <row r="18" spans="1:7">
      <c r="A18" s="111"/>
      <c r="B18" s="113"/>
      <c r="C18" s="114"/>
      <c r="D18" s="114"/>
      <c r="E18" s="114"/>
      <c r="F18" s="114"/>
      <c r="G18" s="113"/>
    </row>
    <row r="19" spans="1:7">
      <c r="A19" s="111"/>
      <c r="B19" s="112" t="s">
        <v>140</v>
      </c>
      <c r="C19" s="114"/>
      <c r="D19" s="114"/>
      <c r="E19" s="114"/>
      <c r="F19" s="114"/>
      <c r="G19" s="113"/>
    </row>
    <row r="20" spans="1:7">
      <c r="A20" s="111"/>
      <c r="B20" s="112" t="s">
        <v>40</v>
      </c>
      <c r="C20" s="114"/>
      <c r="D20" s="114"/>
      <c r="E20" s="114"/>
      <c r="F20" s="114"/>
      <c r="G20" s="113"/>
    </row>
    <row r="21" spans="1:7">
      <c r="A21" s="111">
        <v>7</v>
      </c>
      <c r="B21" s="113" t="s">
        <v>128</v>
      </c>
      <c r="C21" s="114">
        <v>146500</v>
      </c>
      <c r="D21" s="114">
        <v>0</v>
      </c>
      <c r="E21" s="114">
        <v>25231</v>
      </c>
      <c r="F21" s="114">
        <f t="shared" si="0"/>
        <v>121269</v>
      </c>
      <c r="G21" s="113" t="s">
        <v>136</v>
      </c>
    </row>
    <row r="22" spans="1:7">
      <c r="A22" s="111">
        <v>8</v>
      </c>
      <c r="B22" s="113" t="s">
        <v>131</v>
      </c>
      <c r="C22" s="114">
        <v>84000</v>
      </c>
      <c r="D22" s="114">
        <v>0</v>
      </c>
      <c r="E22" s="114">
        <v>35680</v>
      </c>
      <c r="F22" s="114">
        <f t="shared" si="0"/>
        <v>48320</v>
      </c>
      <c r="G22" s="113" t="s">
        <v>141</v>
      </c>
    </row>
    <row r="23" spans="1:7">
      <c r="A23" s="111"/>
      <c r="B23" s="113"/>
      <c r="C23" s="114"/>
      <c r="D23" s="114"/>
      <c r="E23" s="114"/>
      <c r="F23" s="114"/>
      <c r="G23" s="113"/>
    </row>
    <row r="24" spans="1:7">
      <c r="A24" s="111"/>
      <c r="B24" s="112" t="s">
        <v>142</v>
      </c>
      <c r="C24" s="114"/>
      <c r="D24" s="114"/>
      <c r="E24" s="114"/>
      <c r="F24" s="114"/>
      <c r="G24" s="113"/>
    </row>
    <row r="25" spans="1:7">
      <c r="A25" s="111"/>
      <c r="B25" s="112" t="s">
        <v>40</v>
      </c>
      <c r="C25" s="114"/>
      <c r="D25" s="114"/>
      <c r="E25" s="114"/>
      <c r="F25" s="114"/>
      <c r="G25" s="113"/>
    </row>
    <row r="26" spans="1:7">
      <c r="A26" s="111">
        <v>9</v>
      </c>
      <c r="B26" s="113" t="s">
        <v>128</v>
      </c>
      <c r="C26" s="114">
        <v>85000</v>
      </c>
      <c r="D26" s="114">
        <v>0</v>
      </c>
      <c r="E26" s="114">
        <v>0</v>
      </c>
      <c r="F26" s="114">
        <f t="shared" si="0"/>
        <v>85000</v>
      </c>
      <c r="G26" s="113" t="s">
        <v>143</v>
      </c>
    </row>
    <row r="27" spans="1:7">
      <c r="A27" s="111">
        <v>10</v>
      </c>
      <c r="B27" s="113" t="s">
        <v>131</v>
      </c>
      <c r="C27" s="114">
        <v>50000</v>
      </c>
      <c r="D27" s="114">
        <v>0</v>
      </c>
      <c r="E27" s="114">
        <v>0</v>
      </c>
      <c r="F27" s="114">
        <f t="shared" si="0"/>
        <v>50000</v>
      </c>
      <c r="G27" s="113" t="s">
        <v>144</v>
      </c>
    </row>
    <row r="28" spans="1:7">
      <c r="A28" s="111"/>
      <c r="B28" s="113"/>
      <c r="C28" s="114"/>
      <c r="D28" s="114"/>
      <c r="E28" s="114"/>
      <c r="F28" s="114"/>
      <c r="G28" s="113"/>
    </row>
    <row r="29" spans="1:7">
      <c r="A29" s="111"/>
      <c r="B29" s="112" t="s">
        <v>145</v>
      </c>
      <c r="C29" s="114"/>
      <c r="D29" s="114"/>
      <c r="E29" s="114"/>
      <c r="F29" s="114"/>
      <c r="G29" s="113"/>
    </row>
    <row r="30" spans="1:7">
      <c r="A30" s="111"/>
      <c r="B30" s="112" t="s">
        <v>40</v>
      </c>
      <c r="C30" s="114"/>
      <c r="D30" s="114"/>
      <c r="E30" s="114"/>
      <c r="F30" s="114"/>
      <c r="G30" s="113"/>
    </row>
    <row r="31" spans="1:7" ht="42">
      <c r="A31" s="111">
        <v>11</v>
      </c>
      <c r="B31" s="117" t="s">
        <v>146</v>
      </c>
      <c r="C31" s="118">
        <v>700000</v>
      </c>
      <c r="D31" s="118">
        <v>0</v>
      </c>
      <c r="E31" s="118">
        <v>296255</v>
      </c>
      <c r="F31" s="118">
        <f t="shared" si="0"/>
        <v>403745</v>
      </c>
      <c r="G31" s="119" t="s">
        <v>147</v>
      </c>
    </row>
    <row r="32" spans="1:7">
      <c r="A32" s="111">
        <v>12</v>
      </c>
      <c r="B32" s="113" t="s">
        <v>148</v>
      </c>
      <c r="C32" s="114">
        <v>72000</v>
      </c>
      <c r="D32" s="114">
        <v>0</v>
      </c>
      <c r="E32" s="114">
        <v>0</v>
      </c>
      <c r="F32" s="114">
        <f t="shared" si="0"/>
        <v>72000</v>
      </c>
      <c r="G32" s="119" t="s">
        <v>149</v>
      </c>
    </row>
    <row r="33" spans="1:7">
      <c r="A33" s="111">
        <v>13</v>
      </c>
      <c r="B33" s="113" t="s">
        <v>150</v>
      </c>
      <c r="C33" s="114">
        <v>23500</v>
      </c>
      <c r="D33" s="114">
        <v>0</v>
      </c>
      <c r="E33" s="114">
        <v>0</v>
      </c>
      <c r="F33" s="114">
        <f t="shared" si="0"/>
        <v>23500</v>
      </c>
      <c r="G33" s="119" t="s">
        <v>151</v>
      </c>
    </row>
    <row r="34" spans="1:7">
      <c r="A34" s="111"/>
      <c r="B34" s="113"/>
      <c r="C34" s="114"/>
      <c r="D34" s="114"/>
      <c r="E34" s="114"/>
      <c r="F34" s="114"/>
      <c r="G34" s="119"/>
    </row>
    <row r="35" spans="1:7">
      <c r="A35" s="111"/>
      <c r="B35" s="112" t="s">
        <v>167</v>
      </c>
      <c r="C35" s="114"/>
      <c r="D35" s="114"/>
      <c r="E35" s="114"/>
      <c r="F35" s="114"/>
      <c r="G35" s="119"/>
    </row>
    <row r="36" spans="1:7">
      <c r="A36" s="111"/>
      <c r="B36" s="112" t="s">
        <v>45</v>
      </c>
      <c r="C36" s="114"/>
      <c r="D36" s="114"/>
      <c r="E36" s="114"/>
      <c r="F36" s="114"/>
      <c r="G36" s="113"/>
    </row>
    <row r="37" spans="1:7">
      <c r="A37" s="111">
        <v>14</v>
      </c>
      <c r="B37" s="113" t="s">
        <v>166</v>
      </c>
      <c r="C37" s="114">
        <v>100000</v>
      </c>
      <c r="D37" s="114">
        <v>0</v>
      </c>
      <c r="E37" s="114">
        <v>0</v>
      </c>
      <c r="F37" s="114">
        <f t="shared" si="0"/>
        <v>100000</v>
      </c>
      <c r="G37" s="119" t="s">
        <v>168</v>
      </c>
    </row>
    <row r="38" spans="1:7" ht="63">
      <c r="A38" s="111">
        <v>15</v>
      </c>
      <c r="B38" s="117" t="s">
        <v>169</v>
      </c>
      <c r="C38" s="118">
        <v>253000</v>
      </c>
      <c r="D38" s="118">
        <v>0</v>
      </c>
      <c r="E38" s="118">
        <v>90000</v>
      </c>
      <c r="F38" s="118">
        <f t="shared" si="0"/>
        <v>163000</v>
      </c>
      <c r="G38" s="119" t="s">
        <v>170</v>
      </c>
    </row>
    <row r="39" spans="1:7">
      <c r="A39" s="111"/>
      <c r="B39" s="113"/>
      <c r="C39" s="114"/>
      <c r="D39" s="114"/>
      <c r="E39" s="114"/>
      <c r="F39" s="114"/>
      <c r="G39" s="113"/>
    </row>
    <row r="40" spans="1:7">
      <c r="A40" s="111"/>
      <c r="B40" s="112" t="s">
        <v>152</v>
      </c>
      <c r="C40" s="114"/>
      <c r="D40" s="114"/>
      <c r="E40" s="114"/>
      <c r="F40" s="114"/>
      <c r="G40" s="113"/>
    </row>
    <row r="41" spans="1:7">
      <c r="A41" s="111"/>
      <c r="B41" s="112" t="s">
        <v>40</v>
      </c>
      <c r="C41" s="114"/>
      <c r="D41" s="114"/>
      <c r="E41" s="114"/>
      <c r="F41" s="114"/>
      <c r="G41" s="113"/>
    </row>
    <row r="42" spans="1:7">
      <c r="A42" s="111">
        <v>16</v>
      </c>
      <c r="B42" s="113" t="s">
        <v>128</v>
      </c>
      <c r="C42" s="114">
        <v>79000</v>
      </c>
      <c r="D42" s="114">
        <v>0</v>
      </c>
      <c r="E42" s="114">
        <v>0</v>
      </c>
      <c r="F42" s="114">
        <f t="shared" si="0"/>
        <v>79000</v>
      </c>
      <c r="G42" s="119" t="s">
        <v>153</v>
      </c>
    </row>
    <row r="43" spans="1:7">
      <c r="A43" s="111">
        <v>17</v>
      </c>
      <c r="B43" s="113" t="s">
        <v>131</v>
      </c>
      <c r="C43" s="114">
        <v>40000</v>
      </c>
      <c r="D43" s="114">
        <v>0</v>
      </c>
      <c r="E43" s="114">
        <v>0</v>
      </c>
      <c r="F43" s="114">
        <f t="shared" si="0"/>
        <v>40000</v>
      </c>
      <c r="G43" s="119" t="s">
        <v>154</v>
      </c>
    </row>
    <row r="44" spans="1:7">
      <c r="A44" s="111"/>
      <c r="B44" s="112" t="s">
        <v>45</v>
      </c>
      <c r="C44" s="114"/>
      <c r="D44" s="114"/>
      <c r="E44" s="114"/>
      <c r="F44" s="114"/>
      <c r="G44" s="113"/>
    </row>
    <row r="45" spans="1:7">
      <c r="A45" s="111">
        <v>18</v>
      </c>
      <c r="B45" s="113" t="s">
        <v>171</v>
      </c>
      <c r="C45" s="114">
        <v>100000</v>
      </c>
      <c r="D45" s="114">
        <v>0</v>
      </c>
      <c r="E45" s="114">
        <v>0</v>
      </c>
      <c r="F45" s="114">
        <f t="shared" si="0"/>
        <v>100000</v>
      </c>
      <c r="G45" s="119" t="s">
        <v>172</v>
      </c>
    </row>
    <row r="46" spans="1:7">
      <c r="A46" s="111"/>
      <c r="B46" s="113"/>
      <c r="C46" s="114"/>
      <c r="D46" s="114"/>
      <c r="E46" s="114"/>
      <c r="F46" s="114"/>
      <c r="G46" s="113"/>
    </row>
    <row r="47" spans="1:7">
      <c r="A47" s="111"/>
      <c r="B47" s="112" t="s">
        <v>155</v>
      </c>
      <c r="C47" s="114"/>
      <c r="D47" s="114"/>
      <c r="E47" s="114"/>
      <c r="F47" s="114"/>
      <c r="G47" s="113"/>
    </row>
    <row r="48" spans="1:7">
      <c r="A48" s="111"/>
      <c r="B48" s="112" t="s">
        <v>40</v>
      </c>
      <c r="C48" s="114"/>
      <c r="D48" s="114"/>
      <c r="E48" s="114"/>
      <c r="F48" s="114"/>
      <c r="G48" s="113"/>
    </row>
    <row r="49" spans="1:7">
      <c r="A49" s="111">
        <v>19</v>
      </c>
      <c r="B49" s="113" t="s">
        <v>156</v>
      </c>
      <c r="C49" s="114">
        <v>4500000</v>
      </c>
      <c r="D49" s="114">
        <v>259310</v>
      </c>
      <c r="E49" s="114">
        <v>0</v>
      </c>
      <c r="F49" s="114">
        <f t="shared" si="0"/>
        <v>4240690</v>
      </c>
      <c r="G49" s="119" t="s">
        <v>157</v>
      </c>
    </row>
    <row r="50" spans="1:7">
      <c r="A50" s="111">
        <v>20</v>
      </c>
      <c r="B50" s="113" t="s">
        <v>128</v>
      </c>
      <c r="C50" s="114">
        <v>70000</v>
      </c>
      <c r="D50" s="114">
        <v>0</v>
      </c>
      <c r="E50" s="114">
        <v>0</v>
      </c>
      <c r="F50" s="114">
        <f t="shared" si="0"/>
        <v>70000</v>
      </c>
      <c r="G50" s="119" t="s">
        <v>158</v>
      </c>
    </row>
    <row r="51" spans="1:7">
      <c r="A51" s="111">
        <v>21</v>
      </c>
      <c r="B51" s="113" t="s">
        <v>131</v>
      </c>
      <c r="C51" s="114">
        <v>45000</v>
      </c>
      <c r="D51" s="114">
        <v>0</v>
      </c>
      <c r="E51" s="114">
        <v>0</v>
      </c>
      <c r="F51" s="114">
        <f t="shared" si="0"/>
        <v>45000</v>
      </c>
      <c r="G51" s="119" t="s">
        <v>159</v>
      </c>
    </row>
    <row r="52" spans="1:7">
      <c r="A52" s="111">
        <v>22</v>
      </c>
      <c r="B52" s="113" t="s">
        <v>160</v>
      </c>
      <c r="C52" s="114">
        <v>165600</v>
      </c>
      <c r="D52" s="114">
        <v>98696</v>
      </c>
      <c r="E52" s="114">
        <v>0</v>
      </c>
      <c r="F52" s="114">
        <f t="shared" si="0"/>
        <v>66904</v>
      </c>
      <c r="G52" s="119" t="s">
        <v>161</v>
      </c>
    </row>
    <row r="53" spans="1:7">
      <c r="A53" s="111">
        <v>23</v>
      </c>
      <c r="B53" s="113" t="s">
        <v>162</v>
      </c>
      <c r="C53" s="114">
        <v>27000</v>
      </c>
      <c r="D53" s="114">
        <v>0</v>
      </c>
      <c r="E53" s="114">
        <v>0</v>
      </c>
      <c r="F53" s="114">
        <f t="shared" si="0"/>
        <v>27000</v>
      </c>
      <c r="G53" s="119" t="s">
        <v>163</v>
      </c>
    </row>
    <row r="54" spans="1:7">
      <c r="A54" s="111"/>
      <c r="B54" s="112" t="s">
        <v>45</v>
      </c>
      <c r="C54" s="114"/>
      <c r="D54" s="114"/>
      <c r="E54" s="114"/>
      <c r="F54" s="114"/>
      <c r="G54" s="113"/>
    </row>
    <row r="55" spans="1:7" ht="42">
      <c r="A55" s="111">
        <v>24</v>
      </c>
      <c r="B55" s="117" t="s">
        <v>173</v>
      </c>
      <c r="C55" s="57">
        <v>113000</v>
      </c>
      <c r="D55" s="57">
        <v>0</v>
      </c>
      <c r="E55" s="57">
        <v>0</v>
      </c>
      <c r="F55" s="57">
        <f t="shared" si="0"/>
        <v>113000</v>
      </c>
      <c r="G55" s="119" t="s">
        <v>174</v>
      </c>
    </row>
    <row r="56" spans="1:7" ht="63">
      <c r="A56" s="111">
        <v>25</v>
      </c>
      <c r="B56" s="117" t="s">
        <v>175</v>
      </c>
      <c r="C56" s="57">
        <v>81300</v>
      </c>
      <c r="D56" s="57">
        <v>0</v>
      </c>
      <c r="E56" s="57">
        <v>0</v>
      </c>
      <c r="F56" s="57">
        <f t="shared" si="0"/>
        <v>81300</v>
      </c>
      <c r="G56" s="119" t="s">
        <v>176</v>
      </c>
    </row>
    <row r="57" spans="1:7">
      <c r="A57" s="111">
        <v>26</v>
      </c>
      <c r="B57" s="113" t="s">
        <v>177</v>
      </c>
      <c r="C57" s="114">
        <v>249000</v>
      </c>
      <c r="D57" s="114">
        <v>0</v>
      </c>
      <c r="E57" s="114">
        <v>0</v>
      </c>
      <c r="F57" s="114">
        <f t="shared" si="0"/>
        <v>249000</v>
      </c>
      <c r="G57" s="119" t="s">
        <v>178</v>
      </c>
    </row>
    <row r="58" spans="1:7" ht="42">
      <c r="A58" s="111">
        <v>27</v>
      </c>
      <c r="B58" s="117" t="s">
        <v>179</v>
      </c>
      <c r="C58" s="57">
        <v>1780200</v>
      </c>
      <c r="D58" s="57">
        <v>0</v>
      </c>
      <c r="E58" s="57">
        <v>0</v>
      </c>
      <c r="F58" s="57">
        <f t="shared" si="0"/>
        <v>1780200</v>
      </c>
      <c r="G58" s="119" t="s">
        <v>180</v>
      </c>
    </row>
    <row r="59" spans="1:7" ht="42">
      <c r="A59" s="111">
        <v>28</v>
      </c>
      <c r="B59" s="117" t="s">
        <v>181</v>
      </c>
      <c r="C59" s="118">
        <v>89400</v>
      </c>
      <c r="D59" s="118">
        <v>0</v>
      </c>
      <c r="E59" s="118">
        <v>0</v>
      </c>
      <c r="F59" s="118">
        <f t="shared" si="0"/>
        <v>89400</v>
      </c>
      <c r="G59" s="119" t="s">
        <v>182</v>
      </c>
    </row>
    <row r="60" spans="1:7" ht="105">
      <c r="A60" s="111">
        <v>29</v>
      </c>
      <c r="B60" s="117" t="s">
        <v>183</v>
      </c>
      <c r="C60" s="118">
        <v>50000</v>
      </c>
      <c r="D60" s="118">
        <v>0</v>
      </c>
      <c r="E60" s="118">
        <v>0</v>
      </c>
      <c r="F60" s="118">
        <f t="shared" si="0"/>
        <v>50000</v>
      </c>
      <c r="G60" s="119" t="s">
        <v>144</v>
      </c>
    </row>
    <row r="61" spans="1:7" ht="84">
      <c r="A61" s="111">
        <v>30</v>
      </c>
      <c r="B61" s="117" t="s">
        <v>184</v>
      </c>
      <c r="C61" s="57">
        <v>14000</v>
      </c>
      <c r="D61" s="57">
        <v>0</v>
      </c>
      <c r="E61" s="57">
        <v>0</v>
      </c>
      <c r="F61" s="57">
        <f t="shared" si="0"/>
        <v>14000</v>
      </c>
      <c r="G61" s="119" t="s">
        <v>185</v>
      </c>
    </row>
    <row r="62" spans="1:7" s="4" customFormat="1">
      <c r="A62" s="155" t="s">
        <v>48</v>
      </c>
      <c r="B62" s="155"/>
      <c r="C62" s="120">
        <f>SUM(C8:C61)</f>
        <v>9859600</v>
      </c>
      <c r="D62" s="120">
        <f t="shared" ref="D62:F62" si="1">SUM(D8:D61)</f>
        <v>382850</v>
      </c>
      <c r="E62" s="120">
        <f t="shared" si="1"/>
        <v>595250</v>
      </c>
      <c r="F62" s="120">
        <f t="shared" si="1"/>
        <v>8881500</v>
      </c>
      <c r="G62" s="112"/>
    </row>
    <row r="63" spans="1:7">
      <c r="C63" s="110"/>
      <c r="D63" s="110"/>
      <c r="E63" s="110"/>
      <c r="F63" s="110"/>
    </row>
    <row r="64" spans="1:7">
      <c r="C64" s="110"/>
      <c r="D64" s="110"/>
      <c r="E64" s="110"/>
      <c r="F64" s="110"/>
    </row>
    <row r="65" spans="3:6">
      <c r="C65" s="110"/>
      <c r="D65" s="110"/>
      <c r="E65" s="110"/>
      <c r="F65" s="110"/>
    </row>
    <row r="66" spans="3:6">
      <c r="C66" s="110"/>
      <c r="D66" s="110"/>
      <c r="E66" s="110"/>
      <c r="F66" s="110"/>
    </row>
    <row r="67" spans="3:6">
      <c r="C67" s="110"/>
      <c r="D67" s="110"/>
      <c r="E67" s="110"/>
      <c r="F67" s="110"/>
    </row>
    <row r="68" spans="3:6">
      <c r="C68" s="110"/>
      <c r="D68" s="110"/>
      <c r="E68" s="110"/>
      <c r="F68" s="110"/>
    </row>
    <row r="69" spans="3:6">
      <c r="C69" s="110"/>
      <c r="D69" s="110"/>
      <c r="E69" s="110"/>
      <c r="F69" s="110"/>
    </row>
    <row r="70" spans="3:6">
      <c r="C70" s="110"/>
      <c r="D70" s="110"/>
      <c r="E70" s="110"/>
      <c r="F70" s="110"/>
    </row>
    <row r="71" spans="3:6">
      <c r="C71" s="110"/>
      <c r="D71" s="110"/>
      <c r="E71" s="110"/>
      <c r="F71" s="110"/>
    </row>
    <row r="72" spans="3:6">
      <c r="C72" s="110"/>
      <c r="D72" s="110"/>
      <c r="E72" s="110"/>
      <c r="F72" s="110"/>
    </row>
    <row r="73" spans="3:6">
      <c r="C73" s="110"/>
      <c r="D73" s="110"/>
      <c r="E73" s="110"/>
      <c r="F73" s="110"/>
    </row>
    <row r="74" spans="3:6">
      <c r="C74" s="110"/>
      <c r="D74" s="110"/>
      <c r="E74" s="110"/>
      <c r="F74" s="110"/>
    </row>
    <row r="75" spans="3:6">
      <c r="C75" s="110"/>
      <c r="D75" s="110"/>
      <c r="E75" s="110"/>
      <c r="F75" s="110"/>
    </row>
    <row r="76" spans="3:6">
      <c r="C76" s="110"/>
      <c r="D76" s="110"/>
      <c r="E76" s="110"/>
      <c r="F76" s="110"/>
    </row>
    <row r="77" spans="3:6">
      <c r="C77" s="110"/>
      <c r="D77" s="110"/>
      <c r="E77" s="110"/>
      <c r="F77" s="110"/>
    </row>
    <row r="78" spans="3:6">
      <c r="C78" s="110"/>
      <c r="D78" s="110"/>
      <c r="E78" s="110"/>
      <c r="F78" s="110"/>
    </row>
    <row r="79" spans="3:6">
      <c r="C79" s="110"/>
      <c r="D79" s="110"/>
      <c r="E79" s="110"/>
      <c r="F79" s="110"/>
    </row>
    <row r="80" spans="3:6">
      <c r="C80" s="110"/>
      <c r="D80" s="110"/>
      <c r="E80" s="110"/>
      <c r="F80" s="110"/>
    </row>
    <row r="81" spans="3:6">
      <c r="C81" s="110"/>
      <c r="D81" s="110"/>
      <c r="E81" s="110"/>
      <c r="F81" s="110"/>
    </row>
    <row r="82" spans="3:6">
      <c r="C82" s="110"/>
      <c r="D82" s="110"/>
      <c r="E82" s="110"/>
      <c r="F82" s="110"/>
    </row>
    <row r="83" spans="3:6">
      <c r="C83" s="110"/>
      <c r="D83" s="110"/>
      <c r="E83" s="110"/>
      <c r="F83" s="110"/>
    </row>
    <row r="84" spans="3:6">
      <c r="C84" s="110"/>
      <c r="D84" s="110"/>
      <c r="E84" s="110"/>
      <c r="F84" s="110"/>
    </row>
    <row r="85" spans="3:6">
      <c r="C85" s="110"/>
      <c r="D85" s="110"/>
      <c r="E85" s="110"/>
      <c r="F85" s="110"/>
    </row>
    <row r="86" spans="3:6">
      <c r="C86" s="110"/>
      <c r="D86" s="110"/>
      <c r="E86" s="110"/>
      <c r="F86" s="110"/>
    </row>
    <row r="87" spans="3:6">
      <c r="C87" s="110"/>
      <c r="D87" s="110"/>
      <c r="E87" s="110"/>
      <c r="F87" s="110"/>
    </row>
    <row r="88" spans="3:6">
      <c r="C88" s="110"/>
      <c r="D88" s="110"/>
      <c r="E88" s="110"/>
      <c r="F88" s="110"/>
    </row>
    <row r="89" spans="3:6">
      <c r="C89" s="110"/>
      <c r="D89" s="110"/>
      <c r="E89" s="110"/>
      <c r="F89" s="110"/>
    </row>
    <row r="90" spans="3:6">
      <c r="C90" s="110"/>
      <c r="D90" s="110"/>
      <c r="E90" s="110"/>
      <c r="F90" s="110"/>
    </row>
    <row r="91" spans="3:6">
      <c r="C91" s="110"/>
      <c r="D91" s="110"/>
      <c r="E91" s="110"/>
      <c r="F91" s="110"/>
    </row>
    <row r="92" spans="3:6">
      <c r="C92" s="110"/>
      <c r="D92" s="110"/>
      <c r="E92" s="110"/>
      <c r="F92" s="110"/>
    </row>
    <row r="93" spans="3:6">
      <c r="C93" s="110"/>
      <c r="D93" s="110"/>
      <c r="E93" s="110"/>
      <c r="F93" s="110"/>
    </row>
    <row r="94" spans="3:6">
      <c r="C94" s="110"/>
      <c r="D94" s="110"/>
      <c r="E94" s="110"/>
      <c r="F94" s="110"/>
    </row>
    <row r="95" spans="3:6">
      <c r="C95" s="110"/>
      <c r="D95" s="110"/>
      <c r="E95" s="110"/>
      <c r="F95" s="110"/>
    </row>
    <row r="96" spans="3:6">
      <c r="C96" s="110"/>
      <c r="D96" s="110"/>
      <c r="E96" s="110"/>
      <c r="F96" s="110"/>
    </row>
    <row r="97" spans="3:6">
      <c r="C97" s="110"/>
      <c r="D97" s="110"/>
      <c r="E97" s="110"/>
      <c r="F97" s="110"/>
    </row>
    <row r="98" spans="3:6">
      <c r="C98" s="110"/>
      <c r="D98" s="110"/>
      <c r="E98" s="110"/>
      <c r="F98" s="110"/>
    </row>
    <row r="99" spans="3:6">
      <c r="C99" s="110"/>
      <c r="D99" s="110"/>
      <c r="E99" s="110"/>
      <c r="F99" s="110"/>
    </row>
    <row r="100" spans="3:6">
      <c r="C100" s="110"/>
      <c r="D100" s="110"/>
      <c r="E100" s="110"/>
      <c r="F100" s="110"/>
    </row>
    <row r="101" spans="3:6">
      <c r="C101" s="110"/>
      <c r="D101" s="110"/>
      <c r="E101" s="110"/>
      <c r="F101" s="110"/>
    </row>
    <row r="102" spans="3:6">
      <c r="C102" s="110"/>
      <c r="D102" s="110"/>
      <c r="E102" s="110"/>
      <c r="F102" s="110"/>
    </row>
    <row r="103" spans="3:6">
      <c r="C103" s="110"/>
      <c r="D103" s="110"/>
      <c r="E103" s="110"/>
      <c r="F103" s="110"/>
    </row>
    <row r="104" spans="3:6">
      <c r="C104" s="110"/>
      <c r="D104" s="110"/>
      <c r="E104" s="110"/>
      <c r="F104" s="110"/>
    </row>
    <row r="105" spans="3:6">
      <c r="C105" s="110"/>
      <c r="D105" s="110"/>
      <c r="E105" s="110"/>
      <c r="F105" s="110"/>
    </row>
    <row r="106" spans="3:6">
      <c r="C106" s="110"/>
      <c r="D106" s="110"/>
      <c r="E106" s="110"/>
      <c r="F106" s="110"/>
    </row>
    <row r="107" spans="3:6">
      <c r="C107" s="110"/>
      <c r="D107" s="110"/>
      <c r="E107" s="110"/>
      <c r="F107" s="110"/>
    </row>
    <row r="108" spans="3:6">
      <c r="C108" s="110"/>
      <c r="D108" s="110"/>
      <c r="E108" s="110"/>
      <c r="F108" s="110"/>
    </row>
    <row r="109" spans="3:6">
      <c r="C109" s="110"/>
      <c r="D109" s="110"/>
      <c r="E109" s="110"/>
      <c r="F109" s="110"/>
    </row>
    <row r="110" spans="3:6">
      <c r="C110" s="110"/>
      <c r="D110" s="110"/>
      <c r="E110" s="110"/>
      <c r="F110" s="110"/>
    </row>
    <row r="111" spans="3:6">
      <c r="C111" s="110"/>
      <c r="D111" s="110"/>
      <c r="E111" s="110"/>
      <c r="F111" s="110"/>
    </row>
    <row r="112" spans="3:6">
      <c r="C112" s="110"/>
      <c r="D112" s="110"/>
      <c r="E112" s="110"/>
      <c r="F112" s="110"/>
    </row>
    <row r="113" spans="3:6">
      <c r="C113" s="110"/>
      <c r="D113" s="110"/>
      <c r="E113" s="110"/>
      <c r="F113" s="110"/>
    </row>
    <row r="114" spans="3:6">
      <c r="C114" s="110"/>
      <c r="D114" s="110"/>
      <c r="E114" s="110"/>
      <c r="F114" s="110"/>
    </row>
    <row r="115" spans="3:6">
      <c r="C115" s="110"/>
      <c r="D115" s="110"/>
      <c r="E115" s="110"/>
      <c r="F115" s="110"/>
    </row>
    <row r="116" spans="3:6">
      <c r="C116" s="110"/>
      <c r="D116" s="110"/>
      <c r="E116" s="110"/>
      <c r="F116" s="110"/>
    </row>
    <row r="117" spans="3:6">
      <c r="C117" s="110"/>
      <c r="D117" s="110"/>
      <c r="E117" s="110"/>
      <c r="F117" s="110"/>
    </row>
    <row r="118" spans="3:6">
      <c r="C118" s="110"/>
      <c r="D118" s="110"/>
      <c r="E118" s="110"/>
      <c r="F118" s="110"/>
    </row>
    <row r="119" spans="3:6">
      <c r="C119" s="110"/>
      <c r="D119" s="110"/>
      <c r="E119" s="110"/>
      <c r="F119" s="110"/>
    </row>
    <row r="120" spans="3:6">
      <c r="C120" s="110"/>
      <c r="D120" s="110"/>
      <c r="E120" s="110"/>
      <c r="F120" s="110"/>
    </row>
    <row r="121" spans="3:6">
      <c r="C121" s="110"/>
      <c r="D121" s="110"/>
      <c r="E121" s="110"/>
      <c r="F121" s="110"/>
    </row>
    <row r="122" spans="3:6">
      <c r="C122" s="110"/>
      <c r="D122" s="110"/>
      <c r="E122" s="110"/>
      <c r="F122" s="110"/>
    </row>
    <row r="123" spans="3:6">
      <c r="C123" s="110"/>
      <c r="D123" s="110"/>
      <c r="E123" s="110"/>
      <c r="F123" s="110"/>
    </row>
    <row r="124" spans="3:6">
      <c r="C124" s="110"/>
      <c r="D124" s="110"/>
      <c r="E124" s="110"/>
      <c r="F124" s="110"/>
    </row>
    <row r="125" spans="3:6">
      <c r="C125" s="110"/>
      <c r="D125" s="110"/>
      <c r="E125" s="110"/>
      <c r="F125" s="110"/>
    </row>
    <row r="126" spans="3:6">
      <c r="C126" s="110"/>
      <c r="D126" s="110"/>
      <c r="E126" s="110"/>
      <c r="F126" s="110"/>
    </row>
    <row r="127" spans="3:6">
      <c r="C127" s="110"/>
      <c r="D127" s="110"/>
      <c r="E127" s="110"/>
      <c r="F127" s="110"/>
    </row>
    <row r="128" spans="3:6">
      <c r="C128" s="110"/>
      <c r="D128" s="110"/>
      <c r="E128" s="110"/>
      <c r="F128" s="110"/>
    </row>
    <row r="129" spans="3:6">
      <c r="C129" s="110"/>
      <c r="D129" s="110"/>
      <c r="E129" s="110"/>
      <c r="F129" s="110"/>
    </row>
    <row r="130" spans="3:6">
      <c r="C130" s="110"/>
      <c r="D130" s="110"/>
      <c r="E130" s="110"/>
      <c r="F130" s="110"/>
    </row>
    <row r="131" spans="3:6">
      <c r="C131" s="110"/>
      <c r="D131" s="110"/>
      <c r="E131" s="110"/>
      <c r="F131" s="110"/>
    </row>
    <row r="132" spans="3:6">
      <c r="C132" s="110"/>
      <c r="D132" s="110"/>
      <c r="E132" s="110"/>
      <c r="F132" s="110"/>
    </row>
    <row r="133" spans="3:6">
      <c r="C133" s="110"/>
      <c r="D133" s="110"/>
      <c r="E133" s="110"/>
      <c r="F133" s="110"/>
    </row>
    <row r="134" spans="3:6">
      <c r="C134" s="110"/>
      <c r="D134" s="110"/>
      <c r="E134" s="110"/>
      <c r="F134" s="110"/>
    </row>
    <row r="135" spans="3:6">
      <c r="C135" s="110"/>
      <c r="D135" s="110"/>
      <c r="E135" s="110"/>
      <c r="F135" s="110"/>
    </row>
    <row r="136" spans="3:6">
      <c r="C136" s="110"/>
      <c r="D136" s="110"/>
      <c r="E136" s="110"/>
      <c r="F136" s="110"/>
    </row>
    <row r="137" spans="3:6">
      <c r="C137" s="110"/>
      <c r="D137" s="110"/>
      <c r="E137" s="110"/>
      <c r="F137" s="110"/>
    </row>
    <row r="138" spans="3:6">
      <c r="C138" s="110"/>
      <c r="D138" s="110"/>
      <c r="E138" s="110"/>
      <c r="F138" s="110"/>
    </row>
    <row r="139" spans="3:6">
      <c r="C139" s="110"/>
      <c r="D139" s="110"/>
      <c r="E139" s="110"/>
      <c r="F139" s="110"/>
    </row>
    <row r="140" spans="3:6">
      <c r="C140" s="110"/>
      <c r="D140" s="110"/>
      <c r="E140" s="110"/>
      <c r="F140" s="110"/>
    </row>
    <row r="141" spans="3:6">
      <c r="C141" s="110"/>
      <c r="D141" s="110"/>
      <c r="E141" s="110"/>
      <c r="F141" s="110"/>
    </row>
    <row r="142" spans="3:6">
      <c r="C142" s="110"/>
      <c r="D142" s="110"/>
      <c r="E142" s="110"/>
      <c r="F142" s="110"/>
    </row>
    <row r="143" spans="3:6">
      <c r="C143" s="110"/>
      <c r="D143" s="110"/>
      <c r="E143" s="110"/>
      <c r="F143" s="110"/>
    </row>
    <row r="144" spans="3:6">
      <c r="C144" s="110"/>
      <c r="D144" s="110"/>
      <c r="E144" s="110"/>
      <c r="F144" s="110"/>
    </row>
    <row r="145" spans="3:6">
      <c r="C145" s="110"/>
      <c r="D145" s="110"/>
      <c r="E145" s="110"/>
      <c r="F145" s="110"/>
    </row>
    <row r="146" spans="3:6">
      <c r="C146" s="110"/>
      <c r="D146" s="110"/>
      <c r="E146" s="110"/>
      <c r="F146" s="110"/>
    </row>
    <row r="147" spans="3:6">
      <c r="C147" s="110"/>
      <c r="D147" s="110"/>
      <c r="E147" s="110"/>
      <c r="F147" s="110"/>
    </row>
    <row r="148" spans="3:6">
      <c r="C148" s="110"/>
      <c r="D148" s="110"/>
      <c r="E148" s="110"/>
      <c r="F148" s="110"/>
    </row>
    <row r="149" spans="3:6">
      <c r="C149" s="110"/>
      <c r="D149" s="110"/>
      <c r="E149" s="110"/>
      <c r="F149" s="110"/>
    </row>
    <row r="150" spans="3:6">
      <c r="C150" s="110"/>
      <c r="D150" s="110"/>
      <c r="E150" s="110"/>
      <c r="F150" s="110"/>
    </row>
    <row r="151" spans="3:6">
      <c r="C151" s="110"/>
      <c r="D151" s="110"/>
      <c r="E151" s="110"/>
      <c r="F151" s="110"/>
    </row>
    <row r="152" spans="3:6">
      <c r="C152" s="110"/>
      <c r="D152" s="110"/>
      <c r="E152" s="110"/>
      <c r="F152" s="110"/>
    </row>
    <row r="153" spans="3:6">
      <c r="C153" s="110"/>
      <c r="D153" s="110"/>
      <c r="E153" s="110"/>
      <c r="F153" s="110"/>
    </row>
    <row r="154" spans="3:6">
      <c r="C154" s="110"/>
      <c r="D154" s="110"/>
      <c r="E154" s="110"/>
      <c r="F154" s="110"/>
    </row>
    <row r="155" spans="3:6">
      <c r="C155" s="110"/>
      <c r="D155" s="110"/>
      <c r="E155" s="110"/>
      <c r="F155" s="110"/>
    </row>
    <row r="156" spans="3:6">
      <c r="C156" s="110"/>
      <c r="D156" s="110"/>
      <c r="E156" s="110"/>
      <c r="F156" s="110"/>
    </row>
    <row r="157" spans="3:6">
      <c r="C157" s="110"/>
      <c r="D157" s="110"/>
      <c r="E157" s="110"/>
      <c r="F157" s="110"/>
    </row>
    <row r="158" spans="3:6">
      <c r="C158" s="110"/>
      <c r="D158" s="110"/>
      <c r="E158" s="110"/>
      <c r="F158" s="110"/>
    </row>
    <row r="159" spans="3:6">
      <c r="C159" s="110"/>
      <c r="D159" s="110"/>
      <c r="E159" s="110"/>
      <c r="F159" s="110"/>
    </row>
    <row r="160" spans="3:6">
      <c r="C160" s="110"/>
      <c r="D160" s="110"/>
      <c r="E160" s="110"/>
      <c r="F160" s="110"/>
    </row>
    <row r="161" spans="3:6">
      <c r="C161" s="110"/>
      <c r="D161" s="110"/>
      <c r="E161" s="110"/>
      <c r="F161" s="110"/>
    </row>
    <row r="162" spans="3:6">
      <c r="C162" s="110"/>
      <c r="D162" s="110"/>
      <c r="E162" s="110"/>
      <c r="F162" s="110"/>
    </row>
    <row r="163" spans="3:6">
      <c r="C163" s="110"/>
      <c r="D163" s="110"/>
      <c r="E163" s="110"/>
      <c r="F163" s="110"/>
    </row>
    <row r="164" spans="3:6">
      <c r="C164" s="110"/>
      <c r="D164" s="110"/>
      <c r="E164" s="110"/>
      <c r="F164" s="110"/>
    </row>
    <row r="165" spans="3:6">
      <c r="C165" s="110"/>
      <c r="D165" s="110"/>
      <c r="E165" s="110"/>
      <c r="F165" s="110"/>
    </row>
    <row r="166" spans="3:6">
      <c r="C166" s="110"/>
      <c r="D166" s="110"/>
      <c r="E166" s="110"/>
      <c r="F166" s="110"/>
    </row>
    <row r="167" spans="3:6">
      <c r="C167" s="110"/>
      <c r="D167" s="110"/>
      <c r="E167" s="110"/>
      <c r="F167" s="110"/>
    </row>
    <row r="168" spans="3:6">
      <c r="C168" s="110"/>
      <c r="D168" s="110"/>
      <c r="E168" s="110"/>
      <c r="F168" s="110"/>
    </row>
    <row r="169" spans="3:6">
      <c r="C169" s="110"/>
      <c r="D169" s="110"/>
      <c r="E169" s="110"/>
      <c r="F169" s="110"/>
    </row>
    <row r="170" spans="3:6">
      <c r="C170" s="110"/>
      <c r="D170" s="110"/>
      <c r="E170" s="110"/>
      <c r="F170" s="110"/>
    </row>
    <row r="171" spans="3:6">
      <c r="C171" s="110"/>
      <c r="D171" s="110"/>
      <c r="E171" s="110"/>
      <c r="F171" s="110"/>
    </row>
    <row r="172" spans="3:6">
      <c r="C172" s="110"/>
      <c r="D172" s="110"/>
      <c r="E172" s="110"/>
      <c r="F172" s="110"/>
    </row>
    <row r="173" spans="3:6">
      <c r="C173" s="110"/>
      <c r="D173" s="110"/>
      <c r="E173" s="110"/>
      <c r="F173" s="110"/>
    </row>
    <row r="174" spans="3:6">
      <c r="C174" s="110"/>
      <c r="D174" s="110"/>
      <c r="E174" s="110"/>
      <c r="F174" s="110"/>
    </row>
    <row r="175" spans="3:6">
      <c r="C175" s="110"/>
      <c r="D175" s="110"/>
      <c r="E175" s="110"/>
      <c r="F175" s="110"/>
    </row>
    <row r="176" spans="3:6">
      <c r="C176" s="110"/>
      <c r="D176" s="110"/>
      <c r="E176" s="110"/>
      <c r="F176" s="110"/>
    </row>
    <row r="177" spans="3:6">
      <c r="C177" s="110"/>
      <c r="D177" s="110"/>
      <c r="E177" s="110"/>
      <c r="F177" s="110"/>
    </row>
    <row r="178" spans="3:6">
      <c r="C178" s="110"/>
      <c r="D178" s="110"/>
      <c r="E178" s="110"/>
      <c r="F178" s="110"/>
    </row>
    <row r="179" spans="3:6">
      <c r="C179" s="110"/>
      <c r="D179" s="110"/>
      <c r="E179" s="110"/>
      <c r="F179" s="110"/>
    </row>
    <row r="180" spans="3:6">
      <c r="C180" s="110"/>
      <c r="D180" s="110"/>
      <c r="E180" s="110"/>
      <c r="F180" s="110"/>
    </row>
    <row r="181" spans="3:6">
      <c r="C181" s="110"/>
      <c r="D181" s="110"/>
      <c r="E181" s="110"/>
      <c r="F181" s="110"/>
    </row>
    <row r="182" spans="3:6">
      <c r="C182" s="110"/>
      <c r="D182" s="110"/>
      <c r="E182" s="110"/>
      <c r="F182" s="110"/>
    </row>
    <row r="183" spans="3:6">
      <c r="C183" s="110"/>
      <c r="D183" s="110"/>
      <c r="E183" s="110"/>
      <c r="F183" s="110"/>
    </row>
    <row r="184" spans="3:6">
      <c r="C184" s="110"/>
      <c r="D184" s="110"/>
      <c r="E184" s="110"/>
      <c r="F184" s="110"/>
    </row>
    <row r="185" spans="3:6">
      <c r="C185" s="110"/>
      <c r="D185" s="110"/>
      <c r="E185" s="110"/>
      <c r="F185" s="110"/>
    </row>
    <row r="186" spans="3:6">
      <c r="C186" s="110"/>
      <c r="D186" s="110"/>
      <c r="E186" s="110"/>
      <c r="F186" s="110"/>
    </row>
    <row r="187" spans="3:6">
      <c r="C187" s="110"/>
      <c r="D187" s="110"/>
      <c r="E187" s="110"/>
      <c r="F187" s="110"/>
    </row>
    <row r="188" spans="3:6">
      <c r="C188" s="110"/>
      <c r="D188" s="110"/>
      <c r="E188" s="110"/>
      <c r="F188" s="110"/>
    </row>
    <row r="189" spans="3:6">
      <c r="C189" s="110"/>
      <c r="D189" s="110"/>
      <c r="E189" s="110"/>
      <c r="F189" s="110"/>
    </row>
  </sheetData>
  <mergeCells count="8">
    <mergeCell ref="A1:G1"/>
    <mergeCell ref="A2:G2"/>
    <mergeCell ref="C4:F4"/>
    <mergeCell ref="A3:G3"/>
    <mergeCell ref="A62:B62"/>
    <mergeCell ref="A4:A5"/>
    <mergeCell ref="B4:B5"/>
    <mergeCell ref="G4:G5"/>
  </mergeCells>
  <phoneticPr fontId="11" type="noConversion"/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&amp;R&amp;P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EAD055-1D93-4161-A119-8B495B38F662}">
  <dimension ref="A1:F19"/>
  <sheetViews>
    <sheetView zoomScale="120" zoomScaleNormal="120" workbookViewId="0">
      <selection activeCell="G13" sqref="G13"/>
    </sheetView>
  </sheetViews>
  <sheetFormatPr defaultColWidth="9" defaultRowHeight="21"/>
  <cols>
    <col min="1" max="1" width="13" style="82" customWidth="1"/>
    <col min="2" max="2" width="15" style="56" customWidth="1"/>
    <col min="3" max="3" width="18.109375" style="56" customWidth="1"/>
    <col min="4" max="4" width="17.77734375" style="56" customWidth="1"/>
    <col min="5" max="5" width="18.33203125" style="56" customWidth="1"/>
    <col min="6" max="6" width="17.21875" style="56" customWidth="1"/>
    <col min="7" max="16384" width="9" style="56"/>
  </cols>
  <sheetData>
    <row r="1" spans="1:6" s="82" customFormat="1">
      <c r="A1" s="161" t="s">
        <v>2</v>
      </c>
      <c r="B1" s="161"/>
      <c r="C1" s="161"/>
      <c r="D1" s="161"/>
      <c r="E1" s="161"/>
      <c r="F1" s="161"/>
    </row>
    <row r="2" spans="1:6" s="82" customFormat="1">
      <c r="A2" s="161" t="s">
        <v>93</v>
      </c>
      <c r="B2" s="161"/>
      <c r="C2" s="161"/>
      <c r="D2" s="161"/>
      <c r="E2" s="161"/>
      <c r="F2" s="161"/>
    </row>
    <row r="3" spans="1:6" s="82" customFormat="1">
      <c r="A3" s="161" t="s">
        <v>92</v>
      </c>
      <c r="B3" s="161"/>
      <c r="C3" s="161"/>
      <c r="D3" s="161"/>
      <c r="E3" s="161"/>
      <c r="F3" s="161"/>
    </row>
    <row r="4" spans="1:6" s="82" customFormat="1" ht="24.9" customHeight="1">
      <c r="A4" s="83" t="s">
        <v>97</v>
      </c>
      <c r="B4" s="83" t="s">
        <v>94</v>
      </c>
      <c r="C4" s="83" t="s">
        <v>95</v>
      </c>
      <c r="D4" s="83" t="s">
        <v>98</v>
      </c>
      <c r="E4" s="83" t="s">
        <v>96</v>
      </c>
      <c r="F4" s="83" t="s">
        <v>77</v>
      </c>
    </row>
    <row r="5" spans="1:6" ht="24.9" customHeight="1">
      <c r="A5" s="83" t="s">
        <v>68</v>
      </c>
      <c r="B5" s="84">
        <v>290320</v>
      </c>
      <c r="C5" s="58">
        <f>SUM(100094+8586683.37)</f>
        <v>8686777.3699999992</v>
      </c>
      <c r="D5" s="85">
        <f>SUM(69076.5+107864)</f>
        <v>176940.5</v>
      </c>
      <c r="E5" s="86">
        <f>SUM(29400+177333)</f>
        <v>206733</v>
      </c>
      <c r="F5" s="57">
        <f t="shared" ref="F5:F17" si="0">SUM(B5:E5)</f>
        <v>9360770.8699999992</v>
      </c>
    </row>
    <row r="6" spans="1:6" ht="24.9" customHeight="1">
      <c r="A6" s="83" t="s">
        <v>69</v>
      </c>
      <c r="B6" s="84">
        <v>371880</v>
      </c>
      <c r="C6" s="58">
        <v>351674.13</v>
      </c>
      <c r="D6" s="85">
        <f>SUM(13620.5+109395)</f>
        <v>123015.5</v>
      </c>
      <c r="E6" s="86">
        <f>SUM(2410+35300)</f>
        <v>37710</v>
      </c>
      <c r="F6" s="57">
        <f t="shared" si="0"/>
        <v>884279.63</v>
      </c>
    </row>
    <row r="7" spans="1:6" ht="24.9" customHeight="1">
      <c r="A7" s="83" t="s">
        <v>19</v>
      </c>
      <c r="B7" s="84">
        <v>159200</v>
      </c>
      <c r="C7" s="58">
        <f>SUM(88000+157470.34)</f>
        <v>245470.34</v>
      </c>
      <c r="D7" s="85">
        <f>SUM(15954.8+133981)</f>
        <v>149935.79999999999</v>
      </c>
      <c r="E7" s="86">
        <f>SUM(1530+57400)</f>
        <v>58930</v>
      </c>
      <c r="F7" s="57">
        <f t="shared" si="0"/>
        <v>613536.1399999999</v>
      </c>
    </row>
    <row r="8" spans="1:6" ht="24.9" customHeight="1">
      <c r="A8" s="83" t="s">
        <v>20</v>
      </c>
      <c r="B8" s="84">
        <v>70200</v>
      </c>
      <c r="C8" s="58">
        <f>SUM(4396+130800)</f>
        <v>135196</v>
      </c>
      <c r="D8" s="85">
        <f>SUM(33821.5+51334)</f>
        <v>85155.5</v>
      </c>
      <c r="E8" s="86">
        <f>SUM(31470+86405)</f>
        <v>117875</v>
      </c>
      <c r="F8" s="57">
        <f t="shared" si="0"/>
        <v>408426.5</v>
      </c>
    </row>
    <row r="9" spans="1:6" ht="24.9" customHeight="1">
      <c r="A9" s="83" t="s">
        <v>70</v>
      </c>
      <c r="B9" s="84">
        <v>14132996.85</v>
      </c>
      <c r="C9" s="58">
        <v>871855</v>
      </c>
      <c r="D9" s="85">
        <f>SUM(238743.9+32742)</f>
        <v>271485.90000000002</v>
      </c>
      <c r="E9" s="86">
        <v>2564513</v>
      </c>
      <c r="F9" s="57">
        <f t="shared" si="0"/>
        <v>17840850.75</v>
      </c>
    </row>
    <row r="10" spans="1:6" ht="24.9" customHeight="1">
      <c r="A10" s="83" t="s">
        <v>71</v>
      </c>
      <c r="B10" s="84">
        <v>4627005</v>
      </c>
      <c r="C10" s="58">
        <f>SUM(89870+21980)</f>
        <v>111850</v>
      </c>
      <c r="D10" s="85">
        <f>SUM(264586.3+73412)</f>
        <v>337998.3</v>
      </c>
      <c r="E10" s="86">
        <f>SUM(76080+331192)</f>
        <v>407272</v>
      </c>
      <c r="F10" s="57">
        <f t="shared" si="0"/>
        <v>5484125.2999999998</v>
      </c>
    </row>
    <row r="11" spans="1:6" ht="24.9" customHeight="1">
      <c r="A11" s="83" t="s">
        <v>72</v>
      </c>
      <c r="B11" s="84">
        <v>669660</v>
      </c>
      <c r="C11" s="58">
        <f>SUM(4560+222230)</f>
        <v>226790</v>
      </c>
      <c r="D11" s="85">
        <f>SUM(42855.9+89151)</f>
        <v>132006.9</v>
      </c>
      <c r="E11" s="86">
        <f>SUM(1520+566739)</f>
        <v>568259</v>
      </c>
      <c r="F11" s="57">
        <f t="shared" si="0"/>
        <v>1596715.9</v>
      </c>
    </row>
    <row r="12" spans="1:6" ht="24.9" customHeight="1">
      <c r="A12" s="83" t="s">
        <v>73</v>
      </c>
      <c r="B12" s="84">
        <v>499890</v>
      </c>
      <c r="C12" s="58">
        <f>SUM(64759+1140534)</f>
        <v>1205293</v>
      </c>
      <c r="D12" s="85">
        <v>95985.1</v>
      </c>
      <c r="E12" s="86">
        <v>40300</v>
      </c>
      <c r="F12" s="57">
        <f t="shared" si="0"/>
        <v>1841468.1</v>
      </c>
    </row>
    <row r="13" spans="1:6" ht="24.9" customHeight="1">
      <c r="A13" s="83" t="s">
        <v>21</v>
      </c>
      <c r="B13" s="84">
        <v>907410</v>
      </c>
      <c r="C13" s="58">
        <v>89012</v>
      </c>
      <c r="D13" s="85"/>
      <c r="E13" s="86">
        <v>289224</v>
      </c>
      <c r="F13" s="57">
        <f t="shared" si="0"/>
        <v>1285646</v>
      </c>
    </row>
    <row r="14" spans="1:6" ht="24.9" customHeight="1">
      <c r="A14" s="83" t="s">
        <v>74</v>
      </c>
      <c r="B14" s="84">
        <v>4709764.3600000003</v>
      </c>
      <c r="C14" s="58">
        <f>SUM(166102+378605)</f>
        <v>544707</v>
      </c>
      <c r="D14" s="85">
        <f>SUM(65236.5+98000)</f>
        <v>163236.5</v>
      </c>
      <c r="E14" s="86">
        <f>SUM(298840+215464.65)</f>
        <v>514304.65</v>
      </c>
      <c r="F14" s="57">
        <f t="shared" si="0"/>
        <v>5932012.5100000007</v>
      </c>
    </row>
    <row r="15" spans="1:6" ht="24.9" customHeight="1">
      <c r="A15" s="83" t="s">
        <v>75</v>
      </c>
      <c r="B15" s="84">
        <v>50650</v>
      </c>
      <c r="C15" s="58">
        <v>553520</v>
      </c>
      <c r="D15" s="85">
        <f>SUM(66684+49915)</f>
        <v>116599</v>
      </c>
      <c r="E15" s="86">
        <f>SUM(59190+7800)</f>
        <v>66990</v>
      </c>
      <c r="F15" s="57">
        <f t="shared" si="0"/>
        <v>787759</v>
      </c>
    </row>
    <row r="16" spans="1:6" ht="24.9" customHeight="1">
      <c r="A16" s="83" t="s">
        <v>76</v>
      </c>
      <c r="B16" s="84">
        <v>253900</v>
      </c>
      <c r="C16" s="58">
        <f>SUM(81700+7913208)</f>
        <v>7994908</v>
      </c>
      <c r="D16" s="85">
        <f>SUM(23792.7+33173)</f>
        <v>56965.7</v>
      </c>
      <c r="E16" s="86">
        <v>309499</v>
      </c>
      <c r="F16" s="57">
        <f t="shared" si="0"/>
        <v>8615272.6999999993</v>
      </c>
    </row>
    <row r="17" spans="1:6" s="82" customFormat="1" ht="24.9" customHeight="1">
      <c r="A17" s="83" t="s">
        <v>77</v>
      </c>
      <c r="B17" s="88">
        <f>SUM(B5:B16)</f>
        <v>26742876.210000001</v>
      </c>
      <c r="C17" s="87">
        <f>SUM(C5:C16)</f>
        <v>21017052.84</v>
      </c>
      <c r="D17" s="89">
        <f>SUM(D5:D16)</f>
        <v>1709324.7</v>
      </c>
      <c r="E17" s="90">
        <f>SUM(E5:E16)</f>
        <v>5181609.6500000004</v>
      </c>
      <c r="F17" s="91">
        <f t="shared" si="0"/>
        <v>54650863.399999999</v>
      </c>
    </row>
    <row r="18" spans="1:6">
      <c r="D18" s="162" t="s">
        <v>87</v>
      </c>
      <c r="E18" s="162"/>
      <c r="F18" s="56">
        <f>รายงาน!E11</f>
        <v>1669794</v>
      </c>
    </row>
    <row r="19" spans="1:6">
      <c r="D19" s="163" t="s">
        <v>88</v>
      </c>
      <c r="E19" s="163"/>
      <c r="F19" s="56">
        <f>SUM(F17-F18)</f>
        <v>52981069.399999999</v>
      </c>
    </row>
  </sheetData>
  <mergeCells count="5">
    <mergeCell ref="A1:F1"/>
    <mergeCell ref="A3:F3"/>
    <mergeCell ref="D18:E18"/>
    <mergeCell ref="D19:E19"/>
    <mergeCell ref="A2:F2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424461-061F-482B-98D9-A12294B4A06C}">
  <dimension ref="A1:J17"/>
  <sheetViews>
    <sheetView workbookViewId="0">
      <selection activeCell="F18" sqref="F18"/>
    </sheetView>
  </sheetViews>
  <sheetFormatPr defaultColWidth="9" defaultRowHeight="21"/>
  <cols>
    <col min="1" max="6" width="9" style="1"/>
    <col min="7" max="7" width="11.33203125" style="1" customWidth="1"/>
    <col min="8" max="8" width="9" style="1"/>
    <col min="9" max="9" width="18.21875" style="1" customWidth="1"/>
    <col min="10" max="16384" width="9" style="1"/>
  </cols>
  <sheetData>
    <row r="1" spans="1:10" s="4" customFormat="1">
      <c r="A1" s="164" t="s">
        <v>26</v>
      </c>
      <c r="B1" s="164"/>
      <c r="C1" s="164"/>
      <c r="D1" s="164"/>
      <c r="E1" s="164"/>
      <c r="F1" s="164"/>
      <c r="G1" s="164"/>
      <c r="H1" s="164"/>
      <c r="I1" s="164"/>
      <c r="J1" s="164"/>
    </row>
    <row r="2" spans="1:10" s="4" customFormat="1">
      <c r="A2" s="164" t="s">
        <v>27</v>
      </c>
      <c r="B2" s="164"/>
      <c r="C2" s="164"/>
      <c r="D2" s="164"/>
      <c r="E2" s="164"/>
      <c r="F2" s="164"/>
      <c r="G2" s="164"/>
      <c r="H2" s="164"/>
      <c r="I2" s="164"/>
      <c r="J2" s="164"/>
    </row>
    <row r="3" spans="1:10" s="4" customFormat="1">
      <c r="A3" s="164" t="s">
        <v>28</v>
      </c>
      <c r="B3" s="164"/>
      <c r="C3" s="164"/>
      <c r="D3" s="164"/>
      <c r="E3" s="164"/>
      <c r="F3" s="164"/>
      <c r="G3" s="164"/>
      <c r="H3" s="164"/>
      <c r="I3" s="164"/>
      <c r="J3" s="164"/>
    </row>
    <row r="12" spans="1:10">
      <c r="G12" s="35" t="s">
        <v>32</v>
      </c>
      <c r="H12" s="33"/>
      <c r="I12" s="34"/>
    </row>
    <row r="13" spans="1:10">
      <c r="G13" s="28" t="s">
        <v>29</v>
      </c>
      <c r="I13" s="29"/>
    </row>
    <row r="14" spans="1:10">
      <c r="G14" s="28" t="s">
        <v>30</v>
      </c>
      <c r="I14" s="29"/>
    </row>
    <row r="15" spans="1:10">
      <c r="G15" s="28" t="s">
        <v>33</v>
      </c>
      <c r="I15" s="29"/>
    </row>
    <row r="16" spans="1:10">
      <c r="G16" s="28" t="s">
        <v>34</v>
      </c>
      <c r="I16" s="29"/>
    </row>
    <row r="17" spans="7:9">
      <c r="G17" s="30" t="s">
        <v>31</v>
      </c>
      <c r="H17" s="31"/>
      <c r="I17" s="32"/>
    </row>
  </sheetData>
  <mergeCells count="3">
    <mergeCell ref="A1:J1"/>
    <mergeCell ref="A2:J2"/>
    <mergeCell ref="A3:J3"/>
  </mergeCells>
  <printOptions horizontalCentered="1"/>
  <pageMargins left="0.39370078740157483" right="0.39370078740157483" top="0.74803149606299213" bottom="0.39370078740157483" header="0.31496062992125984" footer="0.31496062992125984"/>
  <pageSetup paperSize="9" scale="85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5AF854-0C27-4B3E-AFC1-A09ED6F4609F}">
  <dimension ref="A1:Y30"/>
  <sheetViews>
    <sheetView zoomScale="80" zoomScaleNormal="80" workbookViewId="0">
      <pane xSplit="1" ySplit="7" topLeftCell="B19" activePane="bottomRight" state="frozen"/>
      <selection pane="topRight" activeCell="B1" sqref="B1"/>
      <selection pane="bottomLeft" activeCell="A9" sqref="A9"/>
      <selection pane="bottomRight" activeCell="C17" sqref="C17"/>
    </sheetView>
  </sheetViews>
  <sheetFormatPr defaultColWidth="9" defaultRowHeight="18"/>
  <cols>
    <col min="1" max="1" width="33.77734375" style="43" customWidth="1"/>
    <col min="2" max="2" width="13.77734375" style="43" bestFit="1" customWidth="1"/>
    <col min="3" max="3" width="21.6640625" style="43" customWidth="1"/>
    <col min="4" max="4" width="13.77734375" style="43" customWidth="1"/>
    <col min="5" max="5" width="13.77734375" style="43" bestFit="1" customWidth="1"/>
    <col min="6" max="6" width="8" style="68" bestFit="1" customWidth="1"/>
    <col min="7" max="7" width="11.33203125" style="60" hidden="1" customWidth="1"/>
    <col min="8" max="8" width="5.6640625" style="67" hidden="1" customWidth="1"/>
    <col min="9" max="9" width="11.33203125" style="60" hidden="1" customWidth="1"/>
    <col min="10" max="10" width="6.33203125" style="68" hidden="1" customWidth="1"/>
    <col min="11" max="11" width="11.33203125" style="60" hidden="1" customWidth="1"/>
    <col min="12" max="12" width="6.33203125" style="68" hidden="1" customWidth="1"/>
    <col min="13" max="13" width="11.33203125" style="60" hidden="1" customWidth="1"/>
    <col min="14" max="14" width="6.33203125" style="68" hidden="1" customWidth="1"/>
    <col min="15" max="15" width="11.33203125" style="60" hidden="1" customWidth="1"/>
    <col min="16" max="16" width="6.33203125" style="68" hidden="1" customWidth="1"/>
    <col min="17" max="17" width="11.33203125" style="60" hidden="1" customWidth="1"/>
    <col min="18" max="18" width="7.109375" style="68" hidden="1" customWidth="1"/>
    <col min="19" max="19" width="11.33203125" style="60" hidden="1" customWidth="1"/>
    <col min="20" max="20" width="6.33203125" style="68" hidden="1" customWidth="1"/>
    <col min="21" max="21" width="13.77734375" style="43" bestFit="1" customWidth="1"/>
    <col min="22" max="22" width="8" style="43" bestFit="1" customWidth="1"/>
    <col min="23" max="23" width="14.77734375" style="43" customWidth="1"/>
    <col min="24" max="24" width="7.77734375" style="43" bestFit="1" customWidth="1"/>
    <col min="25" max="25" width="13" style="43" customWidth="1"/>
    <col min="26" max="16384" width="9" style="43"/>
  </cols>
  <sheetData>
    <row r="1" spans="1:25" s="42" customFormat="1">
      <c r="A1" s="175" t="s">
        <v>35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75"/>
      <c r="V1" s="175"/>
      <c r="W1" s="175"/>
      <c r="X1" s="175"/>
      <c r="Y1" s="175"/>
    </row>
    <row r="2" spans="1:25" s="42" customFormat="1">
      <c r="A2" s="175" t="s">
        <v>85</v>
      </c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</row>
    <row r="3" spans="1:25" s="42" customFormat="1">
      <c r="A3" s="175" t="s">
        <v>36</v>
      </c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75"/>
      <c r="S3" s="175"/>
      <c r="T3" s="175"/>
      <c r="U3" s="175"/>
      <c r="V3" s="175"/>
      <c r="W3" s="175"/>
      <c r="X3" s="175"/>
      <c r="Y3" s="175"/>
    </row>
    <row r="4" spans="1:25" s="44" customFormat="1" ht="20.25" customHeight="1">
      <c r="A4" s="176" t="s">
        <v>50</v>
      </c>
      <c r="B4" s="177" t="s">
        <v>51</v>
      </c>
      <c r="C4" s="178"/>
      <c r="D4" s="179"/>
      <c r="E4" s="168" t="s">
        <v>2</v>
      </c>
      <c r="F4" s="168"/>
      <c r="G4" s="177" t="s">
        <v>84</v>
      </c>
      <c r="H4" s="180"/>
      <c r="I4" s="180"/>
      <c r="J4" s="180"/>
      <c r="K4" s="180"/>
      <c r="L4" s="180"/>
      <c r="M4" s="180"/>
      <c r="N4" s="180"/>
      <c r="O4" s="180"/>
      <c r="P4" s="180"/>
      <c r="Q4" s="180"/>
      <c r="R4" s="180"/>
      <c r="S4" s="180"/>
      <c r="T4" s="180"/>
      <c r="U4" s="177" t="s">
        <v>37</v>
      </c>
      <c r="V4" s="179"/>
      <c r="W4" s="176" t="s">
        <v>4</v>
      </c>
      <c r="X4" s="176"/>
      <c r="Y4" s="168" t="s">
        <v>38</v>
      </c>
    </row>
    <row r="5" spans="1:25" s="44" customFormat="1" ht="16.5" customHeight="1">
      <c r="A5" s="176"/>
      <c r="B5" s="165" t="s">
        <v>51</v>
      </c>
      <c r="C5" s="39" t="s">
        <v>52</v>
      </c>
      <c r="D5" s="165" t="s">
        <v>55</v>
      </c>
      <c r="E5" s="169" t="s">
        <v>39</v>
      </c>
      <c r="F5" s="172" t="s">
        <v>8</v>
      </c>
      <c r="G5" s="181" t="s">
        <v>58</v>
      </c>
      <c r="H5" s="184" t="s">
        <v>8</v>
      </c>
      <c r="I5" s="181" t="s">
        <v>59</v>
      </c>
      <c r="J5" s="172" t="s">
        <v>8</v>
      </c>
      <c r="K5" s="181" t="s">
        <v>60</v>
      </c>
      <c r="L5" s="172" t="s">
        <v>8</v>
      </c>
      <c r="M5" s="181" t="s">
        <v>61</v>
      </c>
      <c r="N5" s="172" t="s">
        <v>8</v>
      </c>
      <c r="O5" s="181" t="s">
        <v>62</v>
      </c>
      <c r="P5" s="172" t="s">
        <v>8</v>
      </c>
      <c r="Q5" s="181" t="s">
        <v>63</v>
      </c>
      <c r="R5" s="172" t="s">
        <v>8</v>
      </c>
      <c r="S5" s="181" t="s">
        <v>64</v>
      </c>
      <c r="T5" s="172" t="s">
        <v>8</v>
      </c>
      <c r="U5" s="169" t="s">
        <v>83</v>
      </c>
      <c r="V5" s="169" t="s">
        <v>8</v>
      </c>
      <c r="W5" s="169" t="s">
        <v>39</v>
      </c>
      <c r="X5" s="169" t="s">
        <v>8</v>
      </c>
      <c r="Y5" s="168"/>
    </row>
    <row r="6" spans="1:25" s="44" customFormat="1" ht="16.5" customHeight="1">
      <c r="A6" s="176"/>
      <c r="B6" s="166"/>
      <c r="C6" s="40" t="s">
        <v>54</v>
      </c>
      <c r="D6" s="166"/>
      <c r="E6" s="170"/>
      <c r="F6" s="173"/>
      <c r="G6" s="182"/>
      <c r="H6" s="185"/>
      <c r="I6" s="182"/>
      <c r="J6" s="173"/>
      <c r="K6" s="182"/>
      <c r="L6" s="173"/>
      <c r="M6" s="182"/>
      <c r="N6" s="173"/>
      <c r="O6" s="182"/>
      <c r="P6" s="173"/>
      <c r="Q6" s="182"/>
      <c r="R6" s="173"/>
      <c r="S6" s="182"/>
      <c r="T6" s="173"/>
      <c r="U6" s="170"/>
      <c r="V6" s="170"/>
      <c r="W6" s="170"/>
      <c r="X6" s="170"/>
      <c r="Y6" s="168"/>
    </row>
    <row r="7" spans="1:25" s="44" customFormat="1" ht="16.5" customHeight="1">
      <c r="A7" s="176"/>
      <c r="B7" s="167"/>
      <c r="C7" s="41" t="s">
        <v>53</v>
      </c>
      <c r="D7" s="167"/>
      <c r="E7" s="171"/>
      <c r="F7" s="174"/>
      <c r="G7" s="183"/>
      <c r="H7" s="186"/>
      <c r="I7" s="183"/>
      <c r="J7" s="174"/>
      <c r="K7" s="183"/>
      <c r="L7" s="174"/>
      <c r="M7" s="183"/>
      <c r="N7" s="174"/>
      <c r="O7" s="183"/>
      <c r="P7" s="174"/>
      <c r="Q7" s="183"/>
      <c r="R7" s="174"/>
      <c r="S7" s="183"/>
      <c r="T7" s="174"/>
      <c r="U7" s="171"/>
      <c r="V7" s="171"/>
      <c r="W7" s="171"/>
      <c r="X7" s="171"/>
      <c r="Y7" s="168"/>
    </row>
    <row r="8" spans="1:25" s="77" customFormat="1" ht="24" customHeight="1">
      <c r="A8" s="71" t="s">
        <v>78</v>
      </c>
      <c r="B8" s="72">
        <f>SUM(B9:B11)</f>
        <v>233360500</v>
      </c>
      <c r="C8" s="72">
        <f>SUM(C9:C11)</f>
        <v>0</v>
      </c>
      <c r="D8" s="72">
        <f>SUM(B8-C8)</f>
        <v>233360500</v>
      </c>
      <c r="E8" s="72">
        <f>SUM(E9:E11)</f>
        <v>113482060.34</v>
      </c>
      <c r="F8" s="73">
        <f>E8/D8</f>
        <v>0.48629506853130672</v>
      </c>
      <c r="G8" s="74">
        <f>SUM(G9:G11)</f>
        <v>15460013.550000001</v>
      </c>
      <c r="H8" s="75">
        <f>G8/D8</f>
        <v>6.624948759537283E-2</v>
      </c>
      <c r="I8" s="74">
        <f>SUM(I9:I11)</f>
        <v>16070790.699999999</v>
      </c>
      <c r="J8" s="76">
        <f>I8/D8</f>
        <v>6.8866799222661923E-2</v>
      </c>
      <c r="K8" s="74">
        <f>SUM(K9:K11)</f>
        <v>17778511.149999999</v>
      </c>
      <c r="L8" s="76">
        <f>K8/D8</f>
        <v>7.6184749132779533E-2</v>
      </c>
      <c r="M8" s="74">
        <f>SUM(M9:M11)</f>
        <v>16708452.309999999</v>
      </c>
      <c r="N8" s="76">
        <f>M8/D8</f>
        <v>7.159931655100156E-2</v>
      </c>
      <c r="O8" s="74">
        <f>SUM(O9:O11)</f>
        <v>16493934.390000001</v>
      </c>
      <c r="P8" s="76">
        <f>O8/D8</f>
        <v>7.0680061064318941E-2</v>
      </c>
      <c r="Q8" s="74">
        <f>SUM(Q9:Q11)</f>
        <v>17832311.91</v>
      </c>
      <c r="R8" s="76">
        <f>Q8/D8</f>
        <v>7.6415296976137775E-2</v>
      </c>
      <c r="S8" s="74">
        <f>SUM(S9:S11)</f>
        <v>13138046.330000002</v>
      </c>
      <c r="T8" s="76">
        <f>S8/D8</f>
        <v>5.6299357989034141E-2</v>
      </c>
      <c r="U8" s="72">
        <f>SUM(U9:U11)</f>
        <v>113482060.34</v>
      </c>
      <c r="V8" s="73">
        <f>U8/D8</f>
        <v>0.48629506853130672</v>
      </c>
      <c r="W8" s="72">
        <f>SUM(W9:W11)</f>
        <v>119878439.66</v>
      </c>
      <c r="X8" s="73">
        <f t="shared" ref="X8:X26" si="0">W8/D8</f>
        <v>0.51370493146869323</v>
      </c>
      <c r="Y8" s="71"/>
    </row>
    <row r="9" spans="1:25" s="50" customFormat="1" ht="24" customHeight="1">
      <c r="A9" s="47" t="s">
        <v>79</v>
      </c>
      <c r="B9" s="48">
        <v>187935100</v>
      </c>
      <c r="C9" s="59">
        <v>0</v>
      </c>
      <c r="D9" s="45">
        <f t="shared" ref="D9:D20" si="1">SUM(B9-C9)</f>
        <v>187935100</v>
      </c>
      <c r="E9" s="48">
        <v>88924256.269999996</v>
      </c>
      <c r="F9" s="49">
        <f t="shared" ref="F9:F20" si="2">E9/D9</f>
        <v>0.47316470563508356</v>
      </c>
      <c r="G9" s="61">
        <v>12040013.550000001</v>
      </c>
      <c r="H9" s="62">
        <f>G9/D9</f>
        <v>6.406474123247867E-2</v>
      </c>
      <c r="I9" s="61">
        <v>12442369.75</v>
      </c>
      <c r="J9" s="62">
        <f>I9/D9</f>
        <v>6.6205672862599901E-2</v>
      </c>
      <c r="K9" s="61">
        <v>13981647.15</v>
      </c>
      <c r="L9" s="62">
        <f>K9/D9</f>
        <v>7.4396146063188839E-2</v>
      </c>
      <c r="M9" s="61">
        <v>12993614.029999999</v>
      </c>
      <c r="N9" s="62">
        <f>M9/D9</f>
        <v>6.9138835853440897E-2</v>
      </c>
      <c r="O9" s="61">
        <v>12895054.939999999</v>
      </c>
      <c r="P9" s="62">
        <f>O9/D9</f>
        <v>6.8614404334262191E-2</v>
      </c>
      <c r="Q9" s="61">
        <v>13987830.720000001</v>
      </c>
      <c r="R9" s="62">
        <f>Q9/D9</f>
        <v>7.4429048751404076E-2</v>
      </c>
      <c r="S9" s="61">
        <v>10583726.130000001</v>
      </c>
      <c r="T9" s="62">
        <f>S9/D9</f>
        <v>5.6315856537709034E-2</v>
      </c>
      <c r="U9" s="48">
        <v>88924256.269999996</v>
      </c>
      <c r="V9" s="49">
        <f t="shared" ref="V9:V20" si="3">U9/D9</f>
        <v>0.47316470563508356</v>
      </c>
      <c r="W9" s="48">
        <f>SUM(D9-U9)</f>
        <v>99010843.730000004</v>
      </c>
      <c r="X9" s="49">
        <f t="shared" si="0"/>
        <v>0.52683529436491638</v>
      </c>
      <c r="Y9" s="47"/>
    </row>
    <row r="10" spans="1:25" s="50" customFormat="1" ht="24" customHeight="1">
      <c r="A10" s="47" t="s">
        <v>80</v>
      </c>
      <c r="B10" s="48">
        <v>41160000</v>
      </c>
      <c r="C10" s="48">
        <v>0</v>
      </c>
      <c r="D10" s="45">
        <f t="shared" si="1"/>
        <v>41160000</v>
      </c>
      <c r="E10" s="48">
        <v>22888010.07</v>
      </c>
      <c r="F10" s="49">
        <f t="shared" si="2"/>
        <v>0.55607410276967928</v>
      </c>
      <c r="G10" s="61">
        <v>3420000</v>
      </c>
      <c r="H10" s="62">
        <f t="shared" ref="H10:H14" si="4">G10/D10</f>
        <v>8.3090379008746357E-2</v>
      </c>
      <c r="I10" s="61">
        <v>3436644.95</v>
      </c>
      <c r="J10" s="62">
        <f t="shared" ref="J10:J20" si="5">I10/D10</f>
        <v>8.3494775267249757E-2</v>
      </c>
      <c r="K10" s="61">
        <v>3373600</v>
      </c>
      <c r="L10" s="62">
        <f t="shared" ref="L10:L20" si="6">K10/D10</f>
        <v>8.196307094266278E-2</v>
      </c>
      <c r="M10" s="61">
        <v>3361161.28</v>
      </c>
      <c r="N10" s="62">
        <f t="shared" ref="N10:N20" si="7">M10/D10</f>
        <v>8.1660866861030121E-2</v>
      </c>
      <c r="O10" s="61">
        <v>3335253.45</v>
      </c>
      <c r="P10" s="62">
        <f t="shared" ref="P10:P20" si="8">O10/D10</f>
        <v>8.103142492711371E-2</v>
      </c>
      <c r="Q10" s="61">
        <v>3552447.19</v>
      </c>
      <c r="R10" s="62">
        <f t="shared" ref="R10:R20" si="9">Q10/D10</f>
        <v>8.6308240767735661E-2</v>
      </c>
      <c r="S10" s="61">
        <v>2408903.2000000002</v>
      </c>
      <c r="T10" s="62">
        <f t="shared" ref="T10:T20" si="10">S10/D10</f>
        <v>5.8525344995140921E-2</v>
      </c>
      <c r="U10" s="48">
        <v>22888010.07</v>
      </c>
      <c r="V10" s="49">
        <f t="shared" si="3"/>
        <v>0.55607410276967928</v>
      </c>
      <c r="W10" s="48">
        <f>SUM(D10-U10)</f>
        <v>18271989.93</v>
      </c>
      <c r="X10" s="49">
        <f t="shared" si="0"/>
        <v>0.44392589723032067</v>
      </c>
      <c r="Y10" s="47"/>
    </row>
    <row r="11" spans="1:25" s="50" customFormat="1" ht="24" customHeight="1">
      <c r="A11" s="47" t="s">
        <v>41</v>
      </c>
      <c r="B11" s="48">
        <v>4265400</v>
      </c>
      <c r="C11" s="48">
        <v>0</v>
      </c>
      <c r="D11" s="45">
        <f t="shared" si="1"/>
        <v>4265400</v>
      </c>
      <c r="E11" s="81">
        <f>U11</f>
        <v>1669794</v>
      </c>
      <c r="F11" s="70">
        <f t="shared" si="2"/>
        <v>0.39147418764945846</v>
      </c>
      <c r="G11" s="61">
        <v>0</v>
      </c>
      <c r="H11" s="62">
        <f t="shared" si="4"/>
        <v>0</v>
      </c>
      <c r="I11" s="61">
        <v>191776</v>
      </c>
      <c r="J11" s="62">
        <f t="shared" si="5"/>
        <v>4.4960847751676282E-2</v>
      </c>
      <c r="K11" s="61">
        <v>423264</v>
      </c>
      <c r="L11" s="62">
        <f t="shared" si="6"/>
        <v>9.923195948797299E-2</v>
      </c>
      <c r="M11" s="61">
        <v>353677</v>
      </c>
      <c r="N11" s="62">
        <f t="shared" si="7"/>
        <v>8.2917663056219809E-2</v>
      </c>
      <c r="O11" s="61">
        <v>263626</v>
      </c>
      <c r="P11" s="62">
        <f t="shared" si="8"/>
        <v>6.1805692314905986E-2</v>
      </c>
      <c r="Q11" s="61">
        <v>292034</v>
      </c>
      <c r="R11" s="62">
        <f t="shared" si="9"/>
        <v>6.8465794532751909E-2</v>
      </c>
      <c r="S11" s="61">
        <v>145417</v>
      </c>
      <c r="T11" s="62">
        <f t="shared" si="10"/>
        <v>3.4092230505931451E-2</v>
      </c>
      <c r="U11" s="48">
        <f>SUM(G11+I11+K11+M11+O11+Q11+S11)</f>
        <v>1669794</v>
      </c>
      <c r="V11" s="49">
        <f t="shared" si="3"/>
        <v>0.39147418764945846</v>
      </c>
      <c r="W11" s="48">
        <f>SUM(D11-U11)</f>
        <v>2595606</v>
      </c>
      <c r="X11" s="49">
        <f t="shared" si="0"/>
        <v>0.6085258123505416</v>
      </c>
      <c r="Y11" s="47"/>
    </row>
    <row r="12" spans="1:25" s="77" customFormat="1" ht="24" customHeight="1">
      <c r="A12" s="71" t="s">
        <v>40</v>
      </c>
      <c r="B12" s="72">
        <f>SUM(B13:B14)</f>
        <v>80870600</v>
      </c>
      <c r="C12" s="72">
        <f t="shared" ref="C12" si="11">SUM(C13:C14)</f>
        <v>0</v>
      </c>
      <c r="D12" s="72">
        <f t="shared" si="1"/>
        <v>80870600</v>
      </c>
      <c r="E12" s="72">
        <f>SUM(E13:E14)</f>
        <v>39328086.04999999</v>
      </c>
      <c r="F12" s="73">
        <f t="shared" si="2"/>
        <v>0.48630881989251951</v>
      </c>
      <c r="G12" s="74">
        <f>SUM(G13:G14)</f>
        <v>96324.63</v>
      </c>
      <c r="H12" s="76">
        <f t="shared" si="4"/>
        <v>1.1910957752261019E-3</v>
      </c>
      <c r="I12" s="74">
        <f>SUM(I13:I14)</f>
        <v>4729773.6899999995</v>
      </c>
      <c r="J12" s="76">
        <f t="shared" si="5"/>
        <v>5.8485700489423836E-2</v>
      </c>
      <c r="K12" s="74">
        <f>SUM(K13:K14)</f>
        <v>2914711.79</v>
      </c>
      <c r="L12" s="76">
        <f t="shared" si="6"/>
        <v>3.6041673859226964E-2</v>
      </c>
      <c r="M12" s="74">
        <f>SUM(M13:M14)</f>
        <v>5056473.1500000004</v>
      </c>
      <c r="N12" s="76">
        <f t="shared" si="7"/>
        <v>6.252548082986896E-2</v>
      </c>
      <c r="O12" s="74">
        <f>SUM(O13:O14)</f>
        <v>5089225.3499999996</v>
      </c>
      <c r="P12" s="76">
        <f t="shared" si="8"/>
        <v>6.293047597025371E-2</v>
      </c>
      <c r="Q12" s="74">
        <f>SUM(Q13:Q14)</f>
        <v>7187681.6200000001</v>
      </c>
      <c r="R12" s="76">
        <f t="shared" si="9"/>
        <v>8.8878796744428751E-2</v>
      </c>
      <c r="S12" s="74">
        <f>SUM(S13:S14)</f>
        <v>2657393.1</v>
      </c>
      <c r="T12" s="76">
        <f t="shared" si="10"/>
        <v>3.28598167937421E-2</v>
      </c>
      <c r="U12" s="72">
        <f>SUM(U13:U14)</f>
        <v>27731583.330000002</v>
      </c>
      <c r="V12" s="73">
        <f>U12/D12</f>
        <v>0.34291304046217047</v>
      </c>
      <c r="W12" s="72">
        <f>SUM(W13:W14)</f>
        <v>53139016.670000002</v>
      </c>
      <c r="X12" s="73">
        <f t="shared" si="0"/>
        <v>0.65708695953782958</v>
      </c>
      <c r="Y12" s="71"/>
    </row>
    <row r="13" spans="1:25" s="50" customFormat="1" ht="24" customHeight="1">
      <c r="A13" s="47" t="s">
        <v>41</v>
      </c>
      <c r="B13" s="48">
        <v>72365900</v>
      </c>
      <c r="C13" s="48">
        <v>0</v>
      </c>
      <c r="D13" s="45">
        <f t="shared" si="1"/>
        <v>72365900</v>
      </c>
      <c r="E13" s="69">
        <f>ผลการก่อหนี้!F18</f>
        <v>36360160.679999992</v>
      </c>
      <c r="F13" s="70">
        <f t="shared" si="2"/>
        <v>0.50244881470416303</v>
      </c>
      <c r="G13" s="61">
        <v>87164.1</v>
      </c>
      <c r="H13" s="62">
        <f t="shared" si="4"/>
        <v>1.2044913419165658E-3</v>
      </c>
      <c r="I13" s="61">
        <f>SUM(4056740-I11)</f>
        <v>3864964</v>
      </c>
      <c r="J13" s="62">
        <f t="shared" si="5"/>
        <v>5.3408635835386555E-2</v>
      </c>
      <c r="K13" s="61">
        <f>SUM(3096119.44-K11)</f>
        <v>2672855.44</v>
      </c>
      <c r="L13" s="62">
        <f t="shared" si="6"/>
        <v>3.6935289134799675E-2</v>
      </c>
      <c r="M13" s="61">
        <f>SUM(4763631.95-M11)</f>
        <v>4409954.95</v>
      </c>
      <c r="N13" s="62">
        <f t="shared" si="7"/>
        <v>6.0939682226020822E-2</v>
      </c>
      <c r="O13" s="61">
        <f>SUM(4892212.51-O11)</f>
        <v>4628586.51</v>
      </c>
      <c r="P13" s="62">
        <f t="shared" si="8"/>
        <v>6.3960878120772349E-2</v>
      </c>
      <c r="Q13" s="61">
        <f>SUM(7053055.13-Q11)</f>
        <v>6761021.1299999999</v>
      </c>
      <c r="R13" s="62">
        <f t="shared" si="9"/>
        <v>9.3428273952234409E-2</v>
      </c>
      <c r="S13" s="61">
        <f>SUM(2484528.83-S11)</f>
        <v>2339111.83</v>
      </c>
      <c r="T13" s="62">
        <f t="shared" si="10"/>
        <v>3.2323398589667235E-2</v>
      </c>
      <c r="U13" s="48">
        <f>SUM(26433451.96-U11)</f>
        <v>24763657.960000001</v>
      </c>
      <c r="V13" s="46">
        <f t="shared" si="3"/>
        <v>0.34220064920079762</v>
      </c>
      <c r="W13" s="48">
        <f>SUM(D13-U13)</f>
        <v>47602242.039999999</v>
      </c>
      <c r="X13" s="49">
        <f t="shared" si="0"/>
        <v>0.65779935079920238</v>
      </c>
      <c r="Y13" s="47"/>
    </row>
    <row r="14" spans="1:25" s="50" customFormat="1" ht="24" customHeight="1">
      <c r="A14" s="47" t="s">
        <v>42</v>
      </c>
      <c r="B14" s="48">
        <v>8504700</v>
      </c>
      <c r="C14" s="48">
        <v>0</v>
      </c>
      <c r="D14" s="45">
        <f t="shared" si="1"/>
        <v>8504700</v>
      </c>
      <c r="E14" s="48">
        <v>2967925.37</v>
      </c>
      <c r="F14" s="49">
        <f t="shared" si="2"/>
        <v>0.34897472809152585</v>
      </c>
      <c r="G14" s="61">
        <v>9160.5300000000007</v>
      </c>
      <c r="H14" s="62">
        <f t="shared" si="4"/>
        <v>1.0771138311757029E-3</v>
      </c>
      <c r="I14" s="61">
        <v>864809.69</v>
      </c>
      <c r="J14" s="62">
        <f t="shared" si="5"/>
        <v>0.10168609004432842</v>
      </c>
      <c r="K14" s="61">
        <v>241856.35</v>
      </c>
      <c r="L14" s="62">
        <f t="shared" si="6"/>
        <v>2.8437963714181572E-2</v>
      </c>
      <c r="M14" s="61">
        <v>646518.19999999995</v>
      </c>
      <c r="N14" s="62">
        <f t="shared" si="7"/>
        <v>7.601893070890213E-2</v>
      </c>
      <c r="O14" s="61">
        <v>460638.84</v>
      </c>
      <c r="P14" s="62">
        <f t="shared" si="8"/>
        <v>5.4162855832657238E-2</v>
      </c>
      <c r="Q14" s="61">
        <v>426660.49</v>
      </c>
      <c r="R14" s="62">
        <f t="shared" si="9"/>
        <v>5.0167612026291344E-2</v>
      </c>
      <c r="S14" s="61">
        <v>318281.27</v>
      </c>
      <c r="T14" s="62">
        <f t="shared" si="10"/>
        <v>3.7424161933989446E-2</v>
      </c>
      <c r="U14" s="48">
        <v>2967925.37</v>
      </c>
      <c r="V14" s="46">
        <f t="shared" si="3"/>
        <v>0.34897472809152585</v>
      </c>
      <c r="W14" s="48">
        <f>SUM(D14-U14)</f>
        <v>5536774.6299999999</v>
      </c>
      <c r="X14" s="49">
        <f t="shared" si="0"/>
        <v>0.65102527190847415</v>
      </c>
      <c r="Y14" s="47"/>
    </row>
    <row r="15" spans="1:25" s="77" customFormat="1" ht="24" customHeight="1">
      <c r="A15" s="71" t="s">
        <v>43</v>
      </c>
      <c r="B15" s="72">
        <f>SUM(B16)</f>
        <v>2730770</v>
      </c>
      <c r="C15" s="72">
        <f t="shared" ref="C15:E15" si="12">SUM(C16)</f>
        <v>35071.43</v>
      </c>
      <c r="D15" s="72">
        <f t="shared" si="1"/>
        <v>2695698.57</v>
      </c>
      <c r="E15" s="72">
        <f t="shared" si="12"/>
        <v>2695698.57</v>
      </c>
      <c r="F15" s="73">
        <f t="shared" si="2"/>
        <v>1</v>
      </c>
      <c r="G15" s="74">
        <f>SUM(G16)</f>
        <v>0</v>
      </c>
      <c r="H15" s="76"/>
      <c r="I15" s="74">
        <f>SUM(I16)</f>
        <v>0</v>
      </c>
      <c r="J15" s="78"/>
      <c r="K15" s="74">
        <f>SUM(K16)</f>
        <v>390820</v>
      </c>
      <c r="L15" s="76">
        <f t="shared" si="6"/>
        <v>0.14497911760215831</v>
      </c>
      <c r="M15" s="74">
        <f>SUM(M16)</f>
        <v>349000</v>
      </c>
      <c r="N15" s="76">
        <f t="shared" si="7"/>
        <v>0.12946551364606021</v>
      </c>
      <c r="O15" s="74">
        <f>SUM(O16)</f>
        <v>1058279</v>
      </c>
      <c r="P15" s="76">
        <f t="shared" si="8"/>
        <v>0.39258061408549844</v>
      </c>
      <c r="Q15" s="74">
        <f>SUM(Q16)</f>
        <v>0</v>
      </c>
      <c r="R15" s="78"/>
      <c r="S15" s="74">
        <f>SUM(S16)</f>
        <v>0</v>
      </c>
      <c r="T15" s="78"/>
      <c r="U15" s="72">
        <f>SUM(U16)</f>
        <v>1798099</v>
      </c>
      <c r="V15" s="73">
        <f>U15/D15</f>
        <v>0.66702524533371699</v>
      </c>
      <c r="W15" s="72">
        <f>SUM(D15-U15)</f>
        <v>897599.56999999983</v>
      </c>
      <c r="X15" s="73">
        <f t="shared" si="0"/>
        <v>0.33297475466628301</v>
      </c>
      <c r="Y15" s="71"/>
    </row>
    <row r="16" spans="1:25" s="50" customFormat="1" ht="24" customHeight="1">
      <c r="A16" s="47" t="s">
        <v>81</v>
      </c>
      <c r="B16" s="48">
        <f>SUM(B17:B18)</f>
        <v>2730770</v>
      </c>
      <c r="C16" s="48">
        <f t="shared" ref="C16:E16" si="13">SUM(C17:C18)</f>
        <v>35071.43</v>
      </c>
      <c r="D16" s="45">
        <f t="shared" si="1"/>
        <v>2695698.57</v>
      </c>
      <c r="E16" s="48">
        <f t="shared" si="13"/>
        <v>2695698.57</v>
      </c>
      <c r="F16" s="49">
        <f t="shared" si="2"/>
        <v>1</v>
      </c>
      <c r="G16" s="61">
        <f>SUM(G17:G18)</f>
        <v>0</v>
      </c>
      <c r="H16" s="62"/>
      <c r="I16" s="61">
        <f>SUM(I17:I18)</f>
        <v>0</v>
      </c>
      <c r="J16" s="62"/>
      <c r="K16" s="61">
        <f>SUM(K17:K18)</f>
        <v>390820</v>
      </c>
      <c r="L16" s="62">
        <f t="shared" si="6"/>
        <v>0.14497911760215831</v>
      </c>
      <c r="M16" s="61">
        <f>SUM(M17:M18)</f>
        <v>349000</v>
      </c>
      <c r="N16" s="62">
        <f t="shared" si="7"/>
        <v>0.12946551364606021</v>
      </c>
      <c r="O16" s="61">
        <f>SUM(O17:O18)</f>
        <v>1058279</v>
      </c>
      <c r="P16" s="62">
        <f t="shared" si="8"/>
        <v>0.39258061408549844</v>
      </c>
      <c r="Q16" s="61">
        <f>SUM(Q17:Q18)</f>
        <v>0</v>
      </c>
      <c r="R16" s="62"/>
      <c r="S16" s="61">
        <f>SUM(S17:S18)</f>
        <v>0</v>
      </c>
      <c r="T16" s="62"/>
      <c r="U16" s="51">
        <f>SUM(U17:U18)</f>
        <v>1798099</v>
      </c>
      <c r="V16" s="46">
        <f t="shared" si="3"/>
        <v>0.66702524533371699</v>
      </c>
      <c r="W16" s="51">
        <f>SUM(D16-U16)</f>
        <v>897599.56999999983</v>
      </c>
      <c r="X16" s="49">
        <f t="shared" si="0"/>
        <v>0.33297475466628301</v>
      </c>
      <c r="Y16" s="47"/>
    </row>
    <row r="17" spans="1:25" s="50" customFormat="1" ht="24" customHeight="1">
      <c r="A17" s="47" t="s">
        <v>56</v>
      </c>
      <c r="B17" s="48">
        <v>1800770</v>
      </c>
      <c r="C17" s="48">
        <v>2671</v>
      </c>
      <c r="D17" s="45">
        <f t="shared" si="1"/>
        <v>1798099</v>
      </c>
      <c r="E17" s="51">
        <v>1798099</v>
      </c>
      <c r="F17" s="49">
        <f t="shared" si="2"/>
        <v>1</v>
      </c>
      <c r="G17" s="61">
        <v>0</v>
      </c>
      <c r="H17" s="62"/>
      <c r="I17" s="61">
        <v>0</v>
      </c>
      <c r="J17" s="62"/>
      <c r="K17" s="61">
        <v>390820</v>
      </c>
      <c r="L17" s="62">
        <f t="shared" si="6"/>
        <v>0.21735176984137136</v>
      </c>
      <c r="M17" s="61">
        <v>349000</v>
      </c>
      <c r="N17" s="62">
        <f t="shared" si="7"/>
        <v>0.19409387358538099</v>
      </c>
      <c r="O17" s="61">
        <v>1058279</v>
      </c>
      <c r="P17" s="62">
        <f t="shared" si="8"/>
        <v>0.58855435657324762</v>
      </c>
      <c r="Q17" s="61">
        <v>0</v>
      </c>
      <c r="R17" s="62"/>
      <c r="S17" s="61">
        <v>0</v>
      </c>
      <c r="T17" s="62"/>
      <c r="U17" s="51">
        <v>1798099</v>
      </c>
      <c r="V17" s="46">
        <f t="shared" si="3"/>
        <v>1</v>
      </c>
      <c r="W17" s="51">
        <f>SUM(U17-D17)</f>
        <v>0</v>
      </c>
      <c r="X17" s="49">
        <f t="shared" si="0"/>
        <v>0</v>
      </c>
      <c r="Y17" s="47"/>
    </row>
    <row r="18" spans="1:25" s="50" customFormat="1" ht="24" customHeight="1">
      <c r="A18" s="47" t="s">
        <v>57</v>
      </c>
      <c r="B18" s="48">
        <v>930000</v>
      </c>
      <c r="C18" s="48">
        <v>32400.43</v>
      </c>
      <c r="D18" s="45">
        <f t="shared" si="1"/>
        <v>897599.57</v>
      </c>
      <c r="E18" s="51">
        <v>897599.57</v>
      </c>
      <c r="F18" s="49">
        <f t="shared" si="2"/>
        <v>1</v>
      </c>
      <c r="G18" s="61">
        <v>0</v>
      </c>
      <c r="H18" s="62"/>
      <c r="I18" s="61">
        <v>0</v>
      </c>
      <c r="J18" s="62"/>
      <c r="K18" s="61">
        <v>0</v>
      </c>
      <c r="L18" s="62"/>
      <c r="M18" s="61">
        <v>0</v>
      </c>
      <c r="N18" s="62"/>
      <c r="O18" s="61">
        <v>0</v>
      </c>
      <c r="P18" s="62"/>
      <c r="Q18" s="61">
        <v>0</v>
      </c>
      <c r="R18" s="62"/>
      <c r="S18" s="61">
        <v>0</v>
      </c>
      <c r="T18" s="62"/>
      <c r="U18" s="51">
        <v>0</v>
      </c>
      <c r="V18" s="46">
        <f t="shared" si="3"/>
        <v>0</v>
      </c>
      <c r="W18" s="51">
        <f>SUM(D18-U18)</f>
        <v>897599.57</v>
      </c>
      <c r="X18" s="49">
        <f t="shared" si="0"/>
        <v>1</v>
      </c>
      <c r="Y18" s="47"/>
    </row>
    <row r="19" spans="1:25" s="77" customFormat="1" ht="24" customHeight="1">
      <c r="A19" s="71" t="s">
        <v>44</v>
      </c>
      <c r="B19" s="72">
        <v>11958600</v>
      </c>
      <c r="C19" s="72">
        <v>0</v>
      </c>
      <c r="D19" s="72">
        <f>SUM(B19-C19)</f>
        <v>11958600</v>
      </c>
      <c r="E19" s="79">
        <v>5807209</v>
      </c>
      <c r="F19" s="73">
        <f t="shared" si="2"/>
        <v>0.485609435887144</v>
      </c>
      <c r="G19" s="74">
        <v>0</v>
      </c>
      <c r="H19" s="76"/>
      <c r="I19" s="74">
        <v>355900</v>
      </c>
      <c r="J19" s="78">
        <f t="shared" si="5"/>
        <v>2.976100881374074E-2</v>
      </c>
      <c r="K19" s="74">
        <v>2318532</v>
      </c>
      <c r="L19" s="78">
        <f t="shared" si="6"/>
        <v>0.19387988560533842</v>
      </c>
      <c r="M19" s="74">
        <v>1103140</v>
      </c>
      <c r="N19" s="78">
        <f t="shared" si="7"/>
        <v>9.2246584048299968E-2</v>
      </c>
      <c r="O19" s="74">
        <v>1049066</v>
      </c>
      <c r="P19" s="78">
        <f t="shared" si="8"/>
        <v>8.7724817286304421E-2</v>
      </c>
      <c r="Q19" s="74">
        <v>980571</v>
      </c>
      <c r="R19" s="78">
        <f t="shared" si="9"/>
        <v>8.1997140133460433E-2</v>
      </c>
      <c r="S19" s="74">
        <v>0</v>
      </c>
      <c r="T19" s="78"/>
      <c r="U19" s="79">
        <v>5807209</v>
      </c>
      <c r="V19" s="73">
        <f t="shared" si="3"/>
        <v>0.485609435887144</v>
      </c>
      <c r="W19" s="79">
        <f>SUM(D19-U19)</f>
        <v>6151391</v>
      </c>
      <c r="X19" s="73">
        <f t="shared" si="0"/>
        <v>0.514390564112856</v>
      </c>
      <c r="Y19" s="71"/>
    </row>
    <row r="20" spans="1:25" s="77" customFormat="1" ht="24" customHeight="1">
      <c r="A20" s="71" t="s">
        <v>45</v>
      </c>
      <c r="B20" s="72">
        <v>37143710</v>
      </c>
      <c r="C20" s="72">
        <v>47300</v>
      </c>
      <c r="D20" s="72">
        <f t="shared" si="1"/>
        <v>37096410</v>
      </c>
      <c r="E20" s="79">
        <v>3621944</v>
      </c>
      <c r="F20" s="73">
        <f t="shared" si="2"/>
        <v>9.7635970704442826E-2</v>
      </c>
      <c r="G20" s="74">
        <v>0</v>
      </c>
      <c r="H20" s="76"/>
      <c r="I20" s="74">
        <v>116085</v>
      </c>
      <c r="J20" s="78">
        <f t="shared" si="5"/>
        <v>3.1292785474389571E-3</v>
      </c>
      <c r="K20" s="74">
        <v>290178</v>
      </c>
      <c r="L20" s="78">
        <f t="shared" si="6"/>
        <v>7.8222663594671293E-3</v>
      </c>
      <c r="M20" s="74">
        <v>1032335</v>
      </c>
      <c r="N20" s="78">
        <f t="shared" si="7"/>
        <v>2.782843407219189E-2</v>
      </c>
      <c r="O20" s="74">
        <v>864760</v>
      </c>
      <c r="P20" s="78">
        <f t="shared" si="8"/>
        <v>2.3311150593817567E-2</v>
      </c>
      <c r="Q20" s="74">
        <v>765932</v>
      </c>
      <c r="R20" s="78">
        <f t="shared" si="9"/>
        <v>2.0647065309015077E-2</v>
      </c>
      <c r="S20" s="74">
        <v>552654</v>
      </c>
      <c r="T20" s="78">
        <f t="shared" si="10"/>
        <v>1.4897775822512206E-2</v>
      </c>
      <c r="U20" s="79">
        <v>3621944</v>
      </c>
      <c r="V20" s="73">
        <f t="shared" si="3"/>
        <v>9.7635970704442826E-2</v>
      </c>
      <c r="W20" s="79">
        <f>SUM(D20-U20)</f>
        <v>33474466</v>
      </c>
      <c r="X20" s="73">
        <f t="shared" si="0"/>
        <v>0.90236402929555715</v>
      </c>
      <c r="Y20" s="71" t="s">
        <v>82</v>
      </c>
    </row>
    <row r="21" spans="1:25" s="44" customFormat="1" ht="24" customHeight="1">
      <c r="A21" s="52" t="s">
        <v>46</v>
      </c>
      <c r="B21" s="53">
        <f>SUM(B8+B12+B15+B19+B20)</f>
        <v>366064180</v>
      </c>
      <c r="C21" s="53">
        <f t="shared" ref="C21:E21" si="14">SUM(C8+C12+C15+C19+C20)</f>
        <v>82371.429999999993</v>
      </c>
      <c r="D21" s="53">
        <f>SUM(D8+D12+D15+D19+D20)</f>
        <v>365981808.56999999</v>
      </c>
      <c r="E21" s="53">
        <f t="shared" si="14"/>
        <v>164934997.95999998</v>
      </c>
      <c r="F21" s="54">
        <f>E21/D21</f>
        <v>0.45066447046767211</v>
      </c>
      <c r="G21" s="63">
        <f>SUM(G8+G12+G15+G19+G20)</f>
        <v>15556338.180000002</v>
      </c>
      <c r="H21" s="64">
        <f>G21/D21</f>
        <v>4.2505768909070242E-2</v>
      </c>
      <c r="I21" s="63">
        <f>SUM(I8+I12+I15+I19+I20)</f>
        <v>21272549.390000001</v>
      </c>
      <c r="J21" s="64">
        <f>I21/D21</f>
        <v>5.8124608633194616E-2</v>
      </c>
      <c r="K21" s="63">
        <f>SUM(K8+K12+K15+K19+K20)</f>
        <v>23692752.939999998</v>
      </c>
      <c r="L21" s="64">
        <f>K21/D21</f>
        <v>6.4737515322345243E-2</v>
      </c>
      <c r="M21" s="63">
        <f>SUM(M8+M12+M15+M19+M20)</f>
        <v>24249400.460000001</v>
      </c>
      <c r="N21" s="64">
        <f>M21/D21</f>
        <v>6.6258485783076582E-2</v>
      </c>
      <c r="O21" s="63">
        <f>SUM(O8+O12+O15+O19+O20)</f>
        <v>24555264.740000002</v>
      </c>
      <c r="P21" s="64">
        <f>O21/D21</f>
        <v>6.7094222076077334E-2</v>
      </c>
      <c r="Q21" s="63">
        <f>SUM(Q8+Q12+Q15+Q19+Q20)</f>
        <v>26766496.530000001</v>
      </c>
      <c r="R21" s="64">
        <f>Q21/D21</f>
        <v>7.3136139292236085E-2</v>
      </c>
      <c r="S21" s="63">
        <f>SUM(S8+S12+S15+S19+S20)</f>
        <v>16348093.430000002</v>
      </c>
      <c r="T21" s="64">
        <f>S21/D21</f>
        <v>4.4669142146372999E-2</v>
      </c>
      <c r="U21" s="53">
        <f>SUM(U12+U15+U19+U20+U8)</f>
        <v>152440895.67000002</v>
      </c>
      <c r="V21" s="54">
        <f>U21/D21</f>
        <v>0.41652588216237313</v>
      </c>
      <c r="W21" s="53">
        <f>SUM(W12+W15+W19+W20+W8)</f>
        <v>213540912.90000001</v>
      </c>
      <c r="X21" s="54">
        <f t="shared" si="0"/>
        <v>0.58347411783762693</v>
      </c>
      <c r="Y21" s="55"/>
    </row>
    <row r="22" spans="1:25" s="77" customFormat="1" ht="24" customHeight="1">
      <c r="A22" s="71" t="s">
        <v>47</v>
      </c>
      <c r="B22" s="72">
        <f>SUM(B23:B25)</f>
        <v>8977896</v>
      </c>
      <c r="C22" s="72">
        <f t="shared" ref="C22:E22" si="15">SUM(C23:C25)</f>
        <v>0</v>
      </c>
      <c r="D22" s="72">
        <f>SUM(B22-C22)</f>
        <v>8977896</v>
      </c>
      <c r="E22" s="72">
        <f t="shared" si="15"/>
        <v>7724923.3600000003</v>
      </c>
      <c r="F22" s="73">
        <f>E22/D22</f>
        <v>0.86043805363751158</v>
      </c>
      <c r="G22" s="74">
        <f>SUM(G23:G25)</f>
        <v>0</v>
      </c>
      <c r="H22" s="76"/>
      <c r="I22" s="74">
        <f>SUM(I23:I25)</f>
        <v>0</v>
      </c>
      <c r="J22" s="76"/>
      <c r="K22" s="74">
        <f>SUM(K23:K25)</f>
        <v>0</v>
      </c>
      <c r="L22" s="76"/>
      <c r="M22" s="74">
        <f>SUM(M23:M25)</f>
        <v>0</v>
      </c>
      <c r="N22" s="76"/>
      <c r="O22" s="74">
        <f>SUM(O23:O25)</f>
        <v>18407.740000000002</v>
      </c>
      <c r="P22" s="76">
        <f>O22/8071486</f>
        <v>2.2805887292624929E-3</v>
      </c>
      <c r="Q22" s="74">
        <f>SUM(Q23:Q25)</f>
        <v>7645685.6200000001</v>
      </c>
      <c r="R22" s="76">
        <f>Q22/8071486</f>
        <v>0.94724634596405177</v>
      </c>
      <c r="S22" s="74">
        <f>SUM(S23:S25)</f>
        <v>60830</v>
      </c>
      <c r="T22" s="76">
        <f>S22/8977896</f>
        <v>6.7755295895608504E-3</v>
      </c>
      <c r="U22" s="79">
        <f>SUM(U23:U25)</f>
        <v>7724923.3600000003</v>
      </c>
      <c r="V22" s="73">
        <f>U22/D22</f>
        <v>0.86043805363751158</v>
      </c>
      <c r="W22" s="72">
        <f>SUM(D22-U22)</f>
        <v>1252972.6399999997</v>
      </c>
      <c r="X22" s="73">
        <f t="shared" si="0"/>
        <v>0.13956194636248845</v>
      </c>
      <c r="Y22" s="71"/>
    </row>
    <row r="23" spans="1:25" s="50" customFormat="1" ht="24" customHeight="1">
      <c r="A23" s="47" t="s">
        <v>66</v>
      </c>
      <c r="B23" s="48">
        <v>906410</v>
      </c>
      <c r="C23" s="48">
        <v>0</v>
      </c>
      <c r="D23" s="45">
        <f t="shared" ref="D23:D25" si="16">SUM(B23-C23)</f>
        <v>906410</v>
      </c>
      <c r="E23" s="51">
        <v>0</v>
      </c>
      <c r="F23" s="49">
        <f t="shared" ref="F23:F25" si="17">E23/D23</f>
        <v>0</v>
      </c>
      <c r="G23" s="61">
        <v>0</v>
      </c>
      <c r="H23" s="62"/>
      <c r="I23" s="61">
        <v>0</v>
      </c>
      <c r="J23" s="62"/>
      <c r="K23" s="61">
        <v>0</v>
      </c>
      <c r="L23" s="62"/>
      <c r="M23" s="61">
        <v>0</v>
      </c>
      <c r="N23" s="62"/>
      <c r="O23" s="61">
        <v>0</v>
      </c>
      <c r="P23" s="62"/>
      <c r="Q23" s="61">
        <v>0</v>
      </c>
      <c r="R23" s="62"/>
      <c r="S23" s="61"/>
      <c r="T23" s="62"/>
      <c r="U23" s="51">
        <v>0</v>
      </c>
      <c r="V23" s="46">
        <f t="shared" ref="V23:V25" si="18">U23/D23</f>
        <v>0</v>
      </c>
      <c r="W23" s="48">
        <f>SUM(D23-U23)</f>
        <v>906410</v>
      </c>
      <c r="X23" s="49">
        <f t="shared" si="0"/>
        <v>1</v>
      </c>
      <c r="Y23" s="47"/>
    </row>
    <row r="24" spans="1:25" s="50" customFormat="1" ht="24" customHeight="1">
      <c r="A24" s="47" t="s">
        <v>67</v>
      </c>
      <c r="B24" s="48">
        <v>446180</v>
      </c>
      <c r="C24" s="48">
        <v>0</v>
      </c>
      <c r="D24" s="45">
        <f t="shared" si="16"/>
        <v>446180</v>
      </c>
      <c r="E24" s="51">
        <v>99617.74</v>
      </c>
      <c r="F24" s="49">
        <f t="shared" si="17"/>
        <v>0.22326805325205076</v>
      </c>
      <c r="G24" s="61">
        <v>0</v>
      </c>
      <c r="H24" s="62"/>
      <c r="I24" s="61">
        <v>0</v>
      </c>
      <c r="J24" s="62"/>
      <c r="K24" s="61">
        <v>0</v>
      </c>
      <c r="L24" s="62"/>
      <c r="M24" s="61">
        <v>0</v>
      </c>
      <c r="N24" s="62"/>
      <c r="O24" s="61">
        <v>18407.740000000002</v>
      </c>
      <c r="P24" s="62">
        <f>O24/446180</f>
        <v>4.1256309112914072E-2</v>
      </c>
      <c r="Q24" s="61">
        <v>20380</v>
      </c>
      <c r="R24" s="62">
        <f>Q24/446180</f>
        <v>4.5676632749114709E-2</v>
      </c>
      <c r="S24" s="61">
        <v>60830</v>
      </c>
      <c r="T24" s="62">
        <f>S24/446180</f>
        <v>0.13633511139002197</v>
      </c>
      <c r="U24" s="51">
        <v>99617.74</v>
      </c>
      <c r="V24" s="46">
        <f>U24/D24</f>
        <v>0.22326805325205076</v>
      </c>
      <c r="W24" s="48">
        <f>SUM(D24-U24)</f>
        <v>346562.26</v>
      </c>
      <c r="X24" s="49">
        <f t="shared" si="0"/>
        <v>0.77673194674794932</v>
      </c>
      <c r="Y24" s="47"/>
    </row>
    <row r="25" spans="1:25" s="50" customFormat="1" ht="24" customHeight="1">
      <c r="A25" s="47" t="s">
        <v>65</v>
      </c>
      <c r="B25" s="48">
        <v>7625306</v>
      </c>
      <c r="C25" s="48">
        <v>0</v>
      </c>
      <c r="D25" s="45">
        <f t="shared" si="16"/>
        <v>7625306</v>
      </c>
      <c r="E25" s="51">
        <v>7625305.6200000001</v>
      </c>
      <c r="F25" s="49">
        <f t="shared" si="17"/>
        <v>0.99999995016593435</v>
      </c>
      <c r="G25" s="61">
        <v>0</v>
      </c>
      <c r="H25" s="62"/>
      <c r="I25" s="61">
        <v>0</v>
      </c>
      <c r="J25" s="62"/>
      <c r="K25" s="61">
        <v>0</v>
      </c>
      <c r="L25" s="62"/>
      <c r="M25" s="61">
        <v>0</v>
      </c>
      <c r="N25" s="62"/>
      <c r="O25" s="61">
        <v>0</v>
      </c>
      <c r="P25" s="62"/>
      <c r="Q25" s="61">
        <v>7625305.6200000001</v>
      </c>
      <c r="R25" s="62">
        <f>Q25/7625306</f>
        <v>0.99999995016593435</v>
      </c>
      <c r="S25" s="61">
        <v>0</v>
      </c>
      <c r="T25" s="62"/>
      <c r="U25" s="51">
        <v>7625305.6200000001</v>
      </c>
      <c r="V25" s="46">
        <f t="shared" si="18"/>
        <v>0.99999995016593435</v>
      </c>
      <c r="W25" s="48">
        <f>SUM(D25-U25)</f>
        <v>0.37999999988824129</v>
      </c>
      <c r="X25" s="49">
        <f t="shared" si="0"/>
        <v>4.9834065660872005E-8</v>
      </c>
      <c r="Y25" s="47"/>
    </row>
    <row r="26" spans="1:25" s="44" customFormat="1" ht="24" customHeight="1">
      <c r="A26" s="52" t="s">
        <v>48</v>
      </c>
      <c r="B26" s="53">
        <f>SUM(B21:B22)</f>
        <v>375042076</v>
      </c>
      <c r="C26" s="53">
        <f t="shared" ref="C26:E26" si="19">SUM(C21:C22)</f>
        <v>82371.429999999993</v>
      </c>
      <c r="D26" s="53">
        <f>SUM(D21:D22)</f>
        <v>374959704.56999999</v>
      </c>
      <c r="E26" s="53">
        <f t="shared" si="19"/>
        <v>172659921.31999999</v>
      </c>
      <c r="F26" s="54">
        <f>E26/D26</f>
        <v>0.46047593705570217</v>
      </c>
      <c r="G26" s="63">
        <f>SUM(G21:G22)</f>
        <v>15556338.180000002</v>
      </c>
      <c r="H26" s="64"/>
      <c r="I26" s="63">
        <f>SUM(I21:I22)</f>
        <v>21272549.390000001</v>
      </c>
      <c r="J26" s="64"/>
      <c r="K26" s="63">
        <f>SUM(K21:K22)</f>
        <v>23692752.939999998</v>
      </c>
      <c r="L26" s="64"/>
      <c r="M26" s="63">
        <f>SUM(M21:M22)</f>
        <v>24249400.460000001</v>
      </c>
      <c r="N26" s="64"/>
      <c r="O26" s="63">
        <f>SUM(O21:O22)</f>
        <v>24573672.48</v>
      </c>
      <c r="P26" s="64"/>
      <c r="Q26" s="63">
        <f>SUM(Q21:Q22)</f>
        <v>34412182.149999999</v>
      </c>
      <c r="R26" s="64"/>
      <c r="S26" s="63">
        <f>SUM(S21:S22)</f>
        <v>16408923.430000002</v>
      </c>
      <c r="T26" s="64"/>
      <c r="U26" s="53">
        <f>SUM(U21:U22)</f>
        <v>160165819.03000003</v>
      </c>
      <c r="V26" s="54">
        <f>U26/D26</f>
        <v>0.42715475043825463</v>
      </c>
      <c r="W26" s="53">
        <f>SUM(W21:W22)</f>
        <v>214793885.53999999</v>
      </c>
      <c r="X26" s="54">
        <f t="shared" si="0"/>
        <v>0.57284524956174543</v>
      </c>
      <c r="Y26" s="55"/>
    </row>
    <row r="27" spans="1:25" ht="16.5" customHeight="1"/>
    <row r="28" spans="1:25" ht="18.75" customHeight="1">
      <c r="A28" s="43" t="s">
        <v>89</v>
      </c>
    </row>
    <row r="29" spans="1:25" ht="18.75" customHeight="1">
      <c r="A29" s="43" t="s">
        <v>90</v>
      </c>
    </row>
    <row r="30" spans="1:25" ht="18.75" customHeight="1">
      <c r="A30" s="43" t="s">
        <v>86</v>
      </c>
      <c r="W30" s="43" t="s">
        <v>49</v>
      </c>
    </row>
  </sheetData>
  <mergeCells count="32">
    <mergeCell ref="V5:V7"/>
    <mergeCell ref="U5:U7"/>
    <mergeCell ref="G5:G7"/>
    <mergeCell ref="H5:H7"/>
    <mergeCell ref="I5:I7"/>
    <mergeCell ref="J5:J7"/>
    <mergeCell ref="K5:K7"/>
    <mergeCell ref="L5:L7"/>
    <mergeCell ref="S5:S7"/>
    <mergeCell ref="T5:T7"/>
    <mergeCell ref="M5:M7"/>
    <mergeCell ref="N5:N7"/>
    <mergeCell ref="O5:O7"/>
    <mergeCell ref="P5:P7"/>
    <mergeCell ref="Q5:Q7"/>
    <mergeCell ref="R5:R7"/>
    <mergeCell ref="D5:D7"/>
    <mergeCell ref="E4:F4"/>
    <mergeCell ref="E5:E7"/>
    <mergeCell ref="F5:F7"/>
    <mergeCell ref="A1:Y1"/>
    <mergeCell ref="A2:Y2"/>
    <mergeCell ref="A3:Y3"/>
    <mergeCell ref="A4:A7"/>
    <mergeCell ref="W4:X4"/>
    <mergeCell ref="Y4:Y7"/>
    <mergeCell ref="B4:D4"/>
    <mergeCell ref="B5:B7"/>
    <mergeCell ref="G4:T4"/>
    <mergeCell ref="U4:V4"/>
    <mergeCell ref="W5:W7"/>
    <mergeCell ref="X5:X7"/>
  </mergeCells>
  <phoneticPr fontId="11" type="noConversion"/>
  <printOptions horizontalCentered="1"/>
  <pageMargins left="0.19685039370078741" right="0.19685039370078741" top="0.19685039370078741" bottom="0.19685039370078741" header="0.31496062992125984" footer="0.31496062992125984"/>
  <pageSetup paperSize="14" scale="8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A012CB-6E7B-493E-BF3B-EF9179EF927A}">
  <dimension ref="A1:Y26"/>
  <sheetViews>
    <sheetView workbookViewId="0">
      <selection activeCell="Z12" sqref="Z12:Z13"/>
    </sheetView>
  </sheetViews>
  <sheetFormatPr defaultColWidth="9" defaultRowHeight="18"/>
  <cols>
    <col min="1" max="1" width="33.77734375" style="43" customWidth="1"/>
    <col min="2" max="2" width="13.77734375" style="43" bestFit="1" customWidth="1"/>
    <col min="3" max="3" width="21.6640625" style="43" customWidth="1"/>
    <col min="4" max="4" width="13.77734375" style="43" customWidth="1"/>
    <col min="5" max="5" width="13.77734375" style="43" bestFit="1" customWidth="1"/>
    <col min="6" max="6" width="8" style="68" bestFit="1" customWidth="1"/>
    <col min="7" max="7" width="11.33203125" style="60" hidden="1" customWidth="1"/>
    <col min="8" max="8" width="5.6640625" style="67" hidden="1" customWidth="1"/>
    <col min="9" max="9" width="11.33203125" style="60" hidden="1" customWidth="1"/>
    <col min="10" max="10" width="6.33203125" style="68" hidden="1" customWidth="1"/>
    <col min="11" max="11" width="11.33203125" style="60" hidden="1" customWidth="1"/>
    <col min="12" max="12" width="6.33203125" style="68" hidden="1" customWidth="1"/>
    <col min="13" max="13" width="11.33203125" style="60" hidden="1" customWidth="1"/>
    <col min="14" max="14" width="6.33203125" style="68" hidden="1" customWidth="1"/>
    <col min="15" max="15" width="11.33203125" style="60" hidden="1" customWidth="1"/>
    <col min="16" max="16" width="6.33203125" style="68" hidden="1" customWidth="1"/>
    <col min="17" max="17" width="11.33203125" style="60" hidden="1" customWidth="1"/>
    <col min="18" max="18" width="7.109375" style="68" hidden="1" customWidth="1"/>
    <col min="19" max="19" width="11.33203125" style="60" hidden="1" customWidth="1"/>
    <col min="20" max="20" width="6.33203125" style="68" hidden="1" customWidth="1"/>
    <col min="21" max="21" width="13.77734375" style="43" bestFit="1" customWidth="1"/>
    <col min="22" max="22" width="8" style="43" bestFit="1" customWidth="1"/>
    <col min="23" max="23" width="14.77734375" style="43" customWidth="1"/>
    <col min="24" max="24" width="7.77734375" style="43" bestFit="1" customWidth="1"/>
    <col min="25" max="25" width="13" style="43" customWidth="1"/>
    <col min="26" max="16384" width="9" style="43"/>
  </cols>
  <sheetData>
    <row r="1" spans="1:25" s="42" customFormat="1">
      <c r="A1" s="175" t="s">
        <v>35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5"/>
      <c r="M1" s="175"/>
      <c r="N1" s="175"/>
      <c r="O1" s="175"/>
      <c r="P1" s="175"/>
      <c r="Q1" s="175"/>
      <c r="R1" s="175"/>
      <c r="S1" s="175"/>
      <c r="T1" s="175"/>
      <c r="U1" s="175"/>
      <c r="V1" s="175"/>
      <c r="W1" s="175"/>
      <c r="X1" s="175"/>
      <c r="Y1" s="175"/>
    </row>
    <row r="2" spans="1:25" s="42" customFormat="1">
      <c r="A2" s="175" t="s">
        <v>85</v>
      </c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</row>
    <row r="3" spans="1:25" s="42" customFormat="1">
      <c r="A3" s="175" t="s">
        <v>36</v>
      </c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75"/>
      <c r="S3" s="175"/>
      <c r="T3" s="175"/>
      <c r="U3" s="175"/>
      <c r="V3" s="175"/>
      <c r="W3" s="175"/>
      <c r="X3" s="175"/>
      <c r="Y3" s="175"/>
    </row>
    <row r="4" spans="1:25" s="44" customFormat="1" ht="20.25" customHeight="1">
      <c r="A4" s="176" t="s">
        <v>50</v>
      </c>
      <c r="B4" s="177" t="s">
        <v>51</v>
      </c>
      <c r="C4" s="178"/>
      <c r="D4" s="179"/>
      <c r="E4" s="168" t="s">
        <v>2</v>
      </c>
      <c r="F4" s="168"/>
      <c r="G4" s="177" t="s">
        <v>84</v>
      </c>
      <c r="H4" s="180"/>
      <c r="I4" s="180"/>
      <c r="J4" s="180"/>
      <c r="K4" s="180"/>
      <c r="L4" s="180"/>
      <c r="M4" s="180"/>
      <c r="N4" s="180"/>
      <c r="O4" s="180"/>
      <c r="P4" s="180"/>
      <c r="Q4" s="180"/>
      <c r="R4" s="180"/>
      <c r="S4" s="180"/>
      <c r="T4" s="180"/>
      <c r="U4" s="177" t="s">
        <v>37</v>
      </c>
      <c r="V4" s="179"/>
      <c r="W4" s="176" t="s">
        <v>4</v>
      </c>
      <c r="X4" s="176"/>
      <c r="Y4" s="168" t="s">
        <v>38</v>
      </c>
    </row>
    <row r="5" spans="1:25" s="44" customFormat="1" ht="16.5" customHeight="1">
      <c r="A5" s="176"/>
      <c r="B5" s="165" t="s">
        <v>51</v>
      </c>
      <c r="C5" s="39" t="s">
        <v>52</v>
      </c>
      <c r="D5" s="165" t="s">
        <v>55</v>
      </c>
      <c r="E5" s="169" t="s">
        <v>39</v>
      </c>
      <c r="F5" s="172" t="s">
        <v>8</v>
      </c>
      <c r="G5" s="181" t="s">
        <v>58</v>
      </c>
      <c r="H5" s="184" t="s">
        <v>8</v>
      </c>
      <c r="I5" s="181" t="s">
        <v>59</v>
      </c>
      <c r="J5" s="172" t="s">
        <v>8</v>
      </c>
      <c r="K5" s="181" t="s">
        <v>60</v>
      </c>
      <c r="L5" s="172" t="s">
        <v>8</v>
      </c>
      <c r="M5" s="181" t="s">
        <v>61</v>
      </c>
      <c r="N5" s="172" t="s">
        <v>8</v>
      </c>
      <c r="O5" s="181" t="s">
        <v>62</v>
      </c>
      <c r="P5" s="172" t="s">
        <v>8</v>
      </c>
      <c r="Q5" s="181" t="s">
        <v>63</v>
      </c>
      <c r="R5" s="172" t="s">
        <v>8</v>
      </c>
      <c r="S5" s="181" t="s">
        <v>64</v>
      </c>
      <c r="T5" s="172" t="s">
        <v>8</v>
      </c>
      <c r="U5" s="169" t="s">
        <v>83</v>
      </c>
      <c r="V5" s="169" t="s">
        <v>8</v>
      </c>
      <c r="W5" s="169" t="s">
        <v>39</v>
      </c>
      <c r="X5" s="169" t="s">
        <v>8</v>
      </c>
      <c r="Y5" s="168"/>
    </row>
    <row r="6" spans="1:25" s="44" customFormat="1" ht="16.5" customHeight="1">
      <c r="A6" s="176"/>
      <c r="B6" s="166"/>
      <c r="C6" s="40" t="s">
        <v>54</v>
      </c>
      <c r="D6" s="166"/>
      <c r="E6" s="170"/>
      <c r="F6" s="173"/>
      <c r="G6" s="182"/>
      <c r="H6" s="185"/>
      <c r="I6" s="182"/>
      <c r="J6" s="173"/>
      <c r="K6" s="182"/>
      <c r="L6" s="173"/>
      <c r="M6" s="182"/>
      <c r="N6" s="173"/>
      <c r="O6" s="182"/>
      <c r="P6" s="173"/>
      <c r="Q6" s="182"/>
      <c r="R6" s="173"/>
      <c r="S6" s="182"/>
      <c r="T6" s="173"/>
      <c r="U6" s="170"/>
      <c r="V6" s="170"/>
      <c r="W6" s="170"/>
      <c r="X6" s="170"/>
      <c r="Y6" s="168"/>
    </row>
    <row r="7" spans="1:25" s="44" customFormat="1" ht="16.5" customHeight="1">
      <c r="A7" s="176"/>
      <c r="B7" s="167"/>
      <c r="C7" s="41" t="s">
        <v>53</v>
      </c>
      <c r="D7" s="167"/>
      <c r="E7" s="171"/>
      <c r="F7" s="174"/>
      <c r="G7" s="183"/>
      <c r="H7" s="186"/>
      <c r="I7" s="183"/>
      <c r="J7" s="174"/>
      <c r="K7" s="183"/>
      <c r="L7" s="174"/>
      <c r="M7" s="183"/>
      <c r="N7" s="174"/>
      <c r="O7" s="183"/>
      <c r="P7" s="174"/>
      <c r="Q7" s="183"/>
      <c r="R7" s="174"/>
      <c r="S7" s="183"/>
      <c r="T7" s="174"/>
      <c r="U7" s="171"/>
      <c r="V7" s="171"/>
      <c r="W7" s="171"/>
      <c r="X7" s="171"/>
      <c r="Y7" s="168"/>
    </row>
    <row r="8" spans="1:25" s="77" customFormat="1" ht="24" customHeight="1">
      <c r="A8" s="71" t="s">
        <v>40</v>
      </c>
      <c r="B8" s="72">
        <f>SUM(B9:B10)</f>
        <v>80870600</v>
      </c>
      <c r="C8" s="72">
        <f t="shared" ref="C8" si="0">SUM(C9:C10)</f>
        <v>0</v>
      </c>
      <c r="D8" s="72">
        <f t="shared" ref="D8:D16" si="1">SUM(B8-C8)</f>
        <v>80870600</v>
      </c>
      <c r="E8" s="72">
        <f>SUM(E9:E10)</f>
        <v>39328086.04999999</v>
      </c>
      <c r="F8" s="73">
        <f t="shared" ref="F8:F16" si="2">E8/D8</f>
        <v>0.48630881989251951</v>
      </c>
      <c r="G8" s="74">
        <f>SUM(G9:G10)</f>
        <v>96324.63</v>
      </c>
      <c r="H8" s="76">
        <f t="shared" ref="H8:H10" si="3">G8/D8</f>
        <v>1.1910957752261019E-3</v>
      </c>
      <c r="I8" s="74" t="e">
        <f>SUM(I9:I10)</f>
        <v>#REF!</v>
      </c>
      <c r="J8" s="76" t="e">
        <f t="shared" ref="J8:J16" si="4">I8/D8</f>
        <v>#REF!</v>
      </c>
      <c r="K8" s="74" t="e">
        <f>SUM(K9:K10)</f>
        <v>#REF!</v>
      </c>
      <c r="L8" s="76" t="e">
        <f t="shared" ref="L8:L16" si="5">K8/D8</f>
        <v>#REF!</v>
      </c>
      <c r="M8" s="74" t="e">
        <f>SUM(M9:M10)</f>
        <v>#REF!</v>
      </c>
      <c r="N8" s="76" t="e">
        <f t="shared" ref="N8:N16" si="6">M8/D8</f>
        <v>#REF!</v>
      </c>
      <c r="O8" s="74" t="e">
        <f>SUM(O9:O10)</f>
        <v>#REF!</v>
      </c>
      <c r="P8" s="76" t="e">
        <f t="shared" ref="P8:P16" si="7">O8/D8</f>
        <v>#REF!</v>
      </c>
      <c r="Q8" s="74" t="e">
        <f>SUM(Q9:Q10)</f>
        <v>#REF!</v>
      </c>
      <c r="R8" s="76" t="e">
        <f t="shared" ref="R8:R16" si="8">Q8/D8</f>
        <v>#REF!</v>
      </c>
      <c r="S8" s="74" t="e">
        <f>SUM(S9:S10)</f>
        <v>#REF!</v>
      </c>
      <c r="T8" s="76" t="e">
        <f t="shared" ref="T8:T16" si="9">S8/D8</f>
        <v>#REF!</v>
      </c>
      <c r="U8" s="72">
        <v>27731583.329999998</v>
      </c>
      <c r="V8" s="73">
        <f>U8/D8</f>
        <v>0.34291304046217042</v>
      </c>
      <c r="W8" s="72">
        <f>SUM(W9:W10)</f>
        <v>53139016.670000002</v>
      </c>
      <c r="X8" s="73">
        <f t="shared" ref="X8:X22" si="10">W8/D8</f>
        <v>0.65708695953782958</v>
      </c>
      <c r="Y8" s="71"/>
    </row>
    <row r="9" spans="1:25" s="50" customFormat="1" ht="24" customHeight="1">
      <c r="A9" s="47" t="s">
        <v>41</v>
      </c>
      <c r="B9" s="48">
        <v>72365900</v>
      </c>
      <c r="C9" s="48">
        <v>0</v>
      </c>
      <c r="D9" s="45">
        <f t="shared" si="1"/>
        <v>72365900</v>
      </c>
      <c r="E9" s="69">
        <f>ผลการก่อหนี้!F18</f>
        <v>36360160.679999992</v>
      </c>
      <c r="F9" s="70">
        <f t="shared" si="2"/>
        <v>0.50244881470416303</v>
      </c>
      <c r="G9" s="61">
        <v>87164.1</v>
      </c>
      <c r="H9" s="62">
        <f t="shared" si="3"/>
        <v>1.2044913419165658E-3</v>
      </c>
      <c r="I9" s="61" t="e">
        <f>SUM(4056740-#REF!)</f>
        <v>#REF!</v>
      </c>
      <c r="J9" s="62" t="e">
        <f t="shared" si="4"/>
        <v>#REF!</v>
      </c>
      <c r="K9" s="61" t="e">
        <f>SUM(3096119.44-#REF!)</f>
        <v>#REF!</v>
      </c>
      <c r="L9" s="62" t="e">
        <f t="shared" si="5"/>
        <v>#REF!</v>
      </c>
      <c r="M9" s="61" t="e">
        <f>SUM(4763631.95-#REF!)</f>
        <v>#REF!</v>
      </c>
      <c r="N9" s="62" t="e">
        <f t="shared" si="6"/>
        <v>#REF!</v>
      </c>
      <c r="O9" s="61" t="e">
        <f>SUM(4892212.51-#REF!)</f>
        <v>#REF!</v>
      </c>
      <c r="P9" s="62" t="e">
        <f t="shared" si="7"/>
        <v>#REF!</v>
      </c>
      <c r="Q9" s="61" t="e">
        <f>SUM(7053055.13-#REF!)</f>
        <v>#REF!</v>
      </c>
      <c r="R9" s="62" t="e">
        <f t="shared" si="8"/>
        <v>#REF!</v>
      </c>
      <c r="S9" s="61" t="e">
        <f>SUM(2484528.83-#REF!)</f>
        <v>#REF!</v>
      </c>
      <c r="T9" s="62" t="e">
        <f t="shared" si="9"/>
        <v>#REF!</v>
      </c>
      <c r="U9" s="48">
        <v>24763657.960000001</v>
      </c>
      <c r="V9" s="46">
        <f t="shared" ref="V9:V16" si="11">U9/D9</f>
        <v>0.34220064920079762</v>
      </c>
      <c r="W9" s="48">
        <f>SUM(D9-U9)</f>
        <v>47602242.039999999</v>
      </c>
      <c r="X9" s="49">
        <f t="shared" si="10"/>
        <v>0.65779935079920238</v>
      </c>
      <c r="Y9" s="47"/>
    </row>
    <row r="10" spans="1:25" s="50" customFormat="1" ht="24" customHeight="1">
      <c r="A10" s="47" t="s">
        <v>42</v>
      </c>
      <c r="B10" s="48">
        <v>8504700</v>
      </c>
      <c r="C10" s="48">
        <v>0</v>
      </c>
      <c r="D10" s="45">
        <f t="shared" si="1"/>
        <v>8504700</v>
      </c>
      <c r="E10" s="48">
        <v>2967925.37</v>
      </c>
      <c r="F10" s="49">
        <f t="shared" si="2"/>
        <v>0.34897472809152585</v>
      </c>
      <c r="G10" s="61">
        <v>9160.5300000000007</v>
      </c>
      <c r="H10" s="62">
        <f t="shared" si="3"/>
        <v>1.0771138311757029E-3</v>
      </c>
      <c r="I10" s="61">
        <v>864809.69</v>
      </c>
      <c r="J10" s="62">
        <f t="shared" si="4"/>
        <v>0.10168609004432842</v>
      </c>
      <c r="K10" s="61">
        <v>241856.35</v>
      </c>
      <c r="L10" s="62">
        <f t="shared" si="5"/>
        <v>2.8437963714181572E-2</v>
      </c>
      <c r="M10" s="61">
        <v>646518.19999999995</v>
      </c>
      <c r="N10" s="62">
        <f t="shared" si="6"/>
        <v>7.601893070890213E-2</v>
      </c>
      <c r="O10" s="61">
        <v>460638.84</v>
      </c>
      <c r="P10" s="62">
        <f t="shared" si="7"/>
        <v>5.4162855832657238E-2</v>
      </c>
      <c r="Q10" s="61">
        <v>426660.49</v>
      </c>
      <c r="R10" s="62">
        <f t="shared" si="8"/>
        <v>5.0167612026291344E-2</v>
      </c>
      <c r="S10" s="61">
        <v>318281.27</v>
      </c>
      <c r="T10" s="62">
        <f t="shared" si="9"/>
        <v>3.7424161933989446E-2</v>
      </c>
      <c r="U10" s="48">
        <v>2967925.37</v>
      </c>
      <c r="V10" s="46">
        <f t="shared" si="11"/>
        <v>0.34897472809152585</v>
      </c>
      <c r="W10" s="48">
        <f>SUM(D10-U10)</f>
        <v>5536774.6299999999</v>
      </c>
      <c r="X10" s="49">
        <f t="shared" si="10"/>
        <v>0.65102527190847415</v>
      </c>
      <c r="Y10" s="47"/>
    </row>
    <row r="11" spans="1:25" s="77" customFormat="1" ht="24" customHeight="1">
      <c r="A11" s="71" t="s">
        <v>43</v>
      </c>
      <c r="B11" s="72">
        <f>SUM(B12)</f>
        <v>2730770</v>
      </c>
      <c r="C11" s="72">
        <f t="shared" ref="C11:E11" si="12">SUM(C12)</f>
        <v>35071.43</v>
      </c>
      <c r="D11" s="72">
        <f t="shared" si="1"/>
        <v>2695698.57</v>
      </c>
      <c r="E11" s="72">
        <f t="shared" si="12"/>
        <v>2695698.57</v>
      </c>
      <c r="F11" s="73">
        <f t="shared" si="2"/>
        <v>1</v>
      </c>
      <c r="G11" s="74">
        <f>SUM(G12)</f>
        <v>0</v>
      </c>
      <c r="H11" s="76"/>
      <c r="I11" s="74">
        <f>SUM(I12)</f>
        <v>0</v>
      </c>
      <c r="J11" s="78"/>
      <c r="K11" s="74">
        <f>SUM(K12)</f>
        <v>390820</v>
      </c>
      <c r="L11" s="76">
        <f t="shared" si="5"/>
        <v>0.14497911760215831</v>
      </c>
      <c r="M11" s="74">
        <f>SUM(M12)</f>
        <v>349000</v>
      </c>
      <c r="N11" s="76">
        <f t="shared" si="6"/>
        <v>0.12946551364606021</v>
      </c>
      <c r="O11" s="74">
        <f>SUM(O12)</f>
        <v>1058279</v>
      </c>
      <c r="P11" s="76">
        <f t="shared" si="7"/>
        <v>0.39258061408549844</v>
      </c>
      <c r="Q11" s="74">
        <f>SUM(Q12)</f>
        <v>0</v>
      </c>
      <c r="R11" s="78"/>
      <c r="S11" s="74">
        <f>SUM(S12)</f>
        <v>0</v>
      </c>
      <c r="T11" s="78"/>
      <c r="U11" s="72">
        <f>SUM(U12)</f>
        <v>1798099</v>
      </c>
      <c r="V11" s="73">
        <f>U11/D11</f>
        <v>0.66702524533371699</v>
      </c>
      <c r="W11" s="72">
        <f>SUM(D11-U11)</f>
        <v>897599.56999999983</v>
      </c>
      <c r="X11" s="73">
        <f t="shared" si="10"/>
        <v>0.33297475466628301</v>
      </c>
      <c r="Y11" s="71"/>
    </row>
    <row r="12" spans="1:25" s="50" customFormat="1" ht="24" customHeight="1">
      <c r="A12" s="47" t="s">
        <v>81</v>
      </c>
      <c r="B12" s="48">
        <f>SUM(B13:B14)</f>
        <v>2730770</v>
      </c>
      <c r="C12" s="48">
        <f t="shared" ref="C12:E12" si="13">SUM(C13:C14)</f>
        <v>35071.43</v>
      </c>
      <c r="D12" s="45">
        <f t="shared" si="1"/>
        <v>2695698.57</v>
      </c>
      <c r="E12" s="48">
        <f t="shared" si="13"/>
        <v>2695698.57</v>
      </c>
      <c r="F12" s="49">
        <f t="shared" si="2"/>
        <v>1</v>
      </c>
      <c r="G12" s="61">
        <f>SUM(G13:G14)</f>
        <v>0</v>
      </c>
      <c r="H12" s="62"/>
      <c r="I12" s="61">
        <f>SUM(I13:I14)</f>
        <v>0</v>
      </c>
      <c r="J12" s="62"/>
      <c r="K12" s="61">
        <f>SUM(K13:K14)</f>
        <v>390820</v>
      </c>
      <c r="L12" s="62">
        <f t="shared" si="5"/>
        <v>0.14497911760215831</v>
      </c>
      <c r="M12" s="61">
        <f>SUM(M13:M14)</f>
        <v>349000</v>
      </c>
      <c r="N12" s="62">
        <f t="shared" si="6"/>
        <v>0.12946551364606021</v>
      </c>
      <c r="O12" s="61">
        <f>SUM(O13:O14)</f>
        <v>1058279</v>
      </c>
      <c r="P12" s="62">
        <f t="shared" si="7"/>
        <v>0.39258061408549844</v>
      </c>
      <c r="Q12" s="61">
        <f>SUM(Q13:Q14)</f>
        <v>0</v>
      </c>
      <c r="R12" s="62"/>
      <c r="S12" s="61">
        <f>SUM(S13:S14)</f>
        <v>0</v>
      </c>
      <c r="T12" s="62"/>
      <c r="U12" s="51">
        <f>SUM(U13:U14)</f>
        <v>1798099</v>
      </c>
      <c r="V12" s="46">
        <f t="shared" si="11"/>
        <v>0.66702524533371699</v>
      </c>
      <c r="W12" s="51">
        <f>SUM(D12-U12)</f>
        <v>897599.56999999983</v>
      </c>
      <c r="X12" s="49">
        <f t="shared" si="10"/>
        <v>0.33297475466628301</v>
      </c>
      <c r="Y12" s="47"/>
    </row>
    <row r="13" spans="1:25" s="50" customFormat="1" ht="24" customHeight="1">
      <c r="A13" s="47" t="s">
        <v>56</v>
      </c>
      <c r="B13" s="48">
        <v>1800770</v>
      </c>
      <c r="C13" s="48">
        <v>2671</v>
      </c>
      <c r="D13" s="45">
        <f t="shared" si="1"/>
        <v>1798099</v>
      </c>
      <c r="E13" s="51">
        <v>1798099</v>
      </c>
      <c r="F13" s="49">
        <f t="shared" si="2"/>
        <v>1</v>
      </c>
      <c r="G13" s="61">
        <v>0</v>
      </c>
      <c r="H13" s="62"/>
      <c r="I13" s="61">
        <v>0</v>
      </c>
      <c r="J13" s="62"/>
      <c r="K13" s="61">
        <v>390820</v>
      </c>
      <c r="L13" s="62">
        <f t="shared" si="5"/>
        <v>0.21735176984137136</v>
      </c>
      <c r="M13" s="61">
        <v>349000</v>
      </c>
      <c r="N13" s="62">
        <f t="shared" si="6"/>
        <v>0.19409387358538099</v>
      </c>
      <c r="O13" s="61">
        <v>1058279</v>
      </c>
      <c r="P13" s="62">
        <f t="shared" si="7"/>
        <v>0.58855435657324762</v>
      </c>
      <c r="Q13" s="61">
        <v>0</v>
      </c>
      <c r="R13" s="62"/>
      <c r="S13" s="61">
        <v>0</v>
      </c>
      <c r="T13" s="62"/>
      <c r="U13" s="51">
        <v>1798099</v>
      </c>
      <c r="V13" s="46">
        <f t="shared" si="11"/>
        <v>1</v>
      </c>
      <c r="W13" s="51">
        <f>SUM(U13-D13)</f>
        <v>0</v>
      </c>
      <c r="X13" s="49">
        <f t="shared" si="10"/>
        <v>0</v>
      </c>
      <c r="Y13" s="47"/>
    </row>
    <row r="14" spans="1:25" s="50" customFormat="1" ht="24" customHeight="1">
      <c r="A14" s="47" t="s">
        <v>57</v>
      </c>
      <c r="B14" s="48">
        <v>930000</v>
      </c>
      <c r="C14" s="48">
        <v>32400.43</v>
      </c>
      <c r="D14" s="45">
        <f t="shared" si="1"/>
        <v>897599.57</v>
      </c>
      <c r="E14" s="51">
        <v>897599.57</v>
      </c>
      <c r="F14" s="49">
        <f t="shared" si="2"/>
        <v>1</v>
      </c>
      <c r="G14" s="61">
        <v>0</v>
      </c>
      <c r="H14" s="62"/>
      <c r="I14" s="61">
        <v>0</v>
      </c>
      <c r="J14" s="62"/>
      <c r="K14" s="61">
        <v>0</v>
      </c>
      <c r="L14" s="62"/>
      <c r="M14" s="61">
        <v>0</v>
      </c>
      <c r="N14" s="62"/>
      <c r="O14" s="61">
        <v>0</v>
      </c>
      <c r="P14" s="62"/>
      <c r="Q14" s="61">
        <v>0</v>
      </c>
      <c r="R14" s="62"/>
      <c r="S14" s="61">
        <v>0</v>
      </c>
      <c r="T14" s="62"/>
      <c r="U14" s="51">
        <v>0</v>
      </c>
      <c r="V14" s="46">
        <f t="shared" si="11"/>
        <v>0</v>
      </c>
      <c r="W14" s="51">
        <f>SUM(D14-U14)</f>
        <v>897599.57</v>
      </c>
      <c r="X14" s="49">
        <f t="shared" si="10"/>
        <v>1</v>
      </c>
      <c r="Y14" s="47"/>
    </row>
    <row r="15" spans="1:25" s="77" customFormat="1" ht="24" customHeight="1">
      <c r="A15" s="71" t="s">
        <v>44</v>
      </c>
      <c r="B15" s="72">
        <v>11958600</v>
      </c>
      <c r="C15" s="72">
        <v>0</v>
      </c>
      <c r="D15" s="72">
        <f>SUM(B15-C15)</f>
        <v>11958600</v>
      </c>
      <c r="E15" s="79">
        <v>5807209</v>
      </c>
      <c r="F15" s="73">
        <f t="shared" si="2"/>
        <v>0.485609435887144</v>
      </c>
      <c r="G15" s="74">
        <v>0</v>
      </c>
      <c r="H15" s="76"/>
      <c r="I15" s="74">
        <v>355900</v>
      </c>
      <c r="J15" s="78">
        <f t="shared" si="4"/>
        <v>2.976100881374074E-2</v>
      </c>
      <c r="K15" s="74">
        <v>2318532</v>
      </c>
      <c r="L15" s="78">
        <f t="shared" si="5"/>
        <v>0.19387988560533842</v>
      </c>
      <c r="M15" s="74">
        <v>1103140</v>
      </c>
      <c r="N15" s="78">
        <f t="shared" si="6"/>
        <v>9.2246584048299968E-2</v>
      </c>
      <c r="O15" s="74">
        <v>1049066</v>
      </c>
      <c r="P15" s="78">
        <f t="shared" si="7"/>
        <v>8.7724817286304421E-2</v>
      </c>
      <c r="Q15" s="74">
        <v>980571</v>
      </c>
      <c r="R15" s="78">
        <f t="shared" si="8"/>
        <v>8.1997140133460433E-2</v>
      </c>
      <c r="S15" s="74">
        <v>0</v>
      </c>
      <c r="T15" s="78"/>
      <c r="U15" s="79">
        <v>5807209</v>
      </c>
      <c r="V15" s="73">
        <f t="shared" si="11"/>
        <v>0.485609435887144</v>
      </c>
      <c r="W15" s="79">
        <f>SUM(D15-U15)</f>
        <v>6151391</v>
      </c>
      <c r="X15" s="73">
        <f t="shared" si="10"/>
        <v>0.514390564112856</v>
      </c>
      <c r="Y15" s="71"/>
    </row>
    <row r="16" spans="1:25" s="77" customFormat="1" ht="24" customHeight="1">
      <c r="A16" s="71" t="s">
        <v>45</v>
      </c>
      <c r="B16" s="72">
        <v>37143710</v>
      </c>
      <c r="C16" s="72">
        <v>47300</v>
      </c>
      <c r="D16" s="72">
        <f t="shared" si="1"/>
        <v>37096410</v>
      </c>
      <c r="E16" s="79">
        <v>3621944</v>
      </c>
      <c r="F16" s="73">
        <f t="shared" si="2"/>
        <v>9.7635970704442826E-2</v>
      </c>
      <c r="G16" s="74">
        <v>0</v>
      </c>
      <c r="H16" s="76"/>
      <c r="I16" s="74">
        <v>116085</v>
      </c>
      <c r="J16" s="78">
        <f t="shared" si="4"/>
        <v>3.1292785474389571E-3</v>
      </c>
      <c r="K16" s="74">
        <v>290178</v>
      </c>
      <c r="L16" s="78">
        <f t="shared" si="5"/>
        <v>7.8222663594671293E-3</v>
      </c>
      <c r="M16" s="74">
        <v>1032335</v>
      </c>
      <c r="N16" s="78">
        <f t="shared" si="6"/>
        <v>2.782843407219189E-2</v>
      </c>
      <c r="O16" s="74">
        <v>864760</v>
      </c>
      <c r="P16" s="78">
        <f t="shared" si="7"/>
        <v>2.3311150593817567E-2</v>
      </c>
      <c r="Q16" s="74">
        <v>765932</v>
      </c>
      <c r="R16" s="78">
        <f t="shared" si="8"/>
        <v>2.0647065309015077E-2</v>
      </c>
      <c r="S16" s="74">
        <v>552654</v>
      </c>
      <c r="T16" s="78">
        <f t="shared" si="9"/>
        <v>1.4897775822512206E-2</v>
      </c>
      <c r="U16" s="79">
        <v>3621944</v>
      </c>
      <c r="V16" s="73">
        <f t="shared" si="11"/>
        <v>9.7635970704442826E-2</v>
      </c>
      <c r="W16" s="79">
        <f>SUM(D16-U16)</f>
        <v>33474466</v>
      </c>
      <c r="X16" s="73">
        <f t="shared" si="10"/>
        <v>0.90236402929555715</v>
      </c>
      <c r="Y16" s="71" t="s">
        <v>82</v>
      </c>
    </row>
    <row r="17" spans="1:25" s="44" customFormat="1" ht="24" customHeight="1">
      <c r="A17" s="52" t="s">
        <v>46</v>
      </c>
      <c r="B17" s="53">
        <f>SUM(B8+B11+B15+B16)</f>
        <v>132703680</v>
      </c>
      <c r="C17" s="53">
        <f>SUM(C8+C11+C15+C16)</f>
        <v>82371.429999999993</v>
      </c>
      <c r="D17" s="53">
        <f t="shared" ref="D17:W17" si="14">SUM(D8+D11+D15+D16)</f>
        <v>132621308.56999999</v>
      </c>
      <c r="E17" s="53">
        <f t="shared" si="14"/>
        <v>51452937.61999999</v>
      </c>
      <c r="F17" s="54">
        <f>E17/D17</f>
        <v>0.38796885790673807</v>
      </c>
      <c r="G17" s="53">
        <f t="shared" si="14"/>
        <v>96324.63</v>
      </c>
      <c r="H17" s="53">
        <f t="shared" si="14"/>
        <v>1.1910957752261019E-3</v>
      </c>
      <c r="I17" s="53" t="e">
        <f t="shared" si="14"/>
        <v>#REF!</v>
      </c>
      <c r="J17" s="53" t="e">
        <f t="shared" si="14"/>
        <v>#REF!</v>
      </c>
      <c r="K17" s="53" t="e">
        <f t="shared" si="14"/>
        <v>#REF!</v>
      </c>
      <c r="L17" s="53" t="e">
        <f t="shared" si="14"/>
        <v>#REF!</v>
      </c>
      <c r="M17" s="53" t="e">
        <f t="shared" si="14"/>
        <v>#REF!</v>
      </c>
      <c r="N17" s="53" t="e">
        <f t="shared" si="14"/>
        <v>#REF!</v>
      </c>
      <c r="O17" s="53" t="e">
        <f t="shared" si="14"/>
        <v>#REF!</v>
      </c>
      <c r="P17" s="53" t="e">
        <f t="shared" si="14"/>
        <v>#REF!</v>
      </c>
      <c r="Q17" s="53" t="e">
        <f t="shared" si="14"/>
        <v>#REF!</v>
      </c>
      <c r="R17" s="53" t="e">
        <f t="shared" si="14"/>
        <v>#REF!</v>
      </c>
      <c r="S17" s="53" t="e">
        <f t="shared" si="14"/>
        <v>#REF!</v>
      </c>
      <c r="T17" s="53" t="e">
        <f t="shared" si="14"/>
        <v>#REF!</v>
      </c>
      <c r="U17" s="53">
        <f t="shared" si="14"/>
        <v>38958835.329999998</v>
      </c>
      <c r="V17" s="54">
        <f>U17/D17</f>
        <v>0.29375999792248164</v>
      </c>
      <c r="W17" s="53">
        <f t="shared" si="14"/>
        <v>93662473.24000001</v>
      </c>
      <c r="X17" s="54">
        <f t="shared" si="10"/>
        <v>0.70624000207751847</v>
      </c>
      <c r="Y17" s="55"/>
    </row>
    <row r="18" spans="1:25" s="77" customFormat="1" ht="24" customHeight="1">
      <c r="A18" s="71" t="s">
        <v>47</v>
      </c>
      <c r="B18" s="72">
        <f>SUM(B19:B21)</f>
        <v>8977896</v>
      </c>
      <c r="C18" s="72">
        <f t="shared" ref="C18:E18" si="15">SUM(C19:C21)</f>
        <v>0</v>
      </c>
      <c r="D18" s="72">
        <f>SUM(B18-C18)</f>
        <v>8977896</v>
      </c>
      <c r="E18" s="72">
        <f t="shared" si="15"/>
        <v>7724923.3600000003</v>
      </c>
      <c r="F18" s="73">
        <f>E18/D18</f>
        <v>0.86043805363751158</v>
      </c>
      <c r="G18" s="74">
        <f>SUM(G19:G21)</f>
        <v>0</v>
      </c>
      <c r="H18" s="76"/>
      <c r="I18" s="74">
        <f>SUM(I19:I21)</f>
        <v>0</v>
      </c>
      <c r="J18" s="76"/>
      <c r="K18" s="74">
        <f>SUM(K19:K21)</f>
        <v>0</v>
      </c>
      <c r="L18" s="76"/>
      <c r="M18" s="74">
        <f>SUM(M19:M21)</f>
        <v>0</v>
      </c>
      <c r="N18" s="76"/>
      <c r="O18" s="74">
        <f>SUM(O19:O21)</f>
        <v>18407.740000000002</v>
      </c>
      <c r="P18" s="76">
        <f>O18/8071486</f>
        <v>2.2805887292624929E-3</v>
      </c>
      <c r="Q18" s="74">
        <f>SUM(Q19:Q21)</f>
        <v>7645685.6200000001</v>
      </c>
      <c r="R18" s="76">
        <f>Q18/8071486</f>
        <v>0.94724634596405177</v>
      </c>
      <c r="S18" s="74">
        <f>SUM(S19:S21)</f>
        <v>60830</v>
      </c>
      <c r="T18" s="76">
        <f>S18/8977896</f>
        <v>6.7755295895608504E-3</v>
      </c>
      <c r="U18" s="79">
        <f>SUM(U19:U21)</f>
        <v>7724923.3600000003</v>
      </c>
      <c r="V18" s="73">
        <f>U18/D18</f>
        <v>0.86043805363751158</v>
      </c>
      <c r="W18" s="72">
        <f>SUM(D18-U18)</f>
        <v>1252972.6399999997</v>
      </c>
      <c r="X18" s="73">
        <f t="shared" si="10"/>
        <v>0.13956194636248845</v>
      </c>
      <c r="Y18" s="71"/>
    </row>
    <row r="19" spans="1:25" s="50" customFormat="1" ht="24" customHeight="1">
      <c r="A19" s="47" t="s">
        <v>66</v>
      </c>
      <c r="B19" s="48">
        <v>906410</v>
      </c>
      <c r="C19" s="48">
        <v>0</v>
      </c>
      <c r="D19" s="45">
        <f t="shared" ref="D19:D21" si="16">SUM(B19-C19)</f>
        <v>906410</v>
      </c>
      <c r="E19" s="51">
        <v>0</v>
      </c>
      <c r="F19" s="49">
        <f t="shared" ref="F19:F21" si="17">E19/D19</f>
        <v>0</v>
      </c>
      <c r="G19" s="61">
        <v>0</v>
      </c>
      <c r="H19" s="62"/>
      <c r="I19" s="61">
        <v>0</v>
      </c>
      <c r="J19" s="62"/>
      <c r="K19" s="61">
        <v>0</v>
      </c>
      <c r="L19" s="62"/>
      <c r="M19" s="61">
        <v>0</v>
      </c>
      <c r="N19" s="62"/>
      <c r="O19" s="61">
        <v>0</v>
      </c>
      <c r="P19" s="62"/>
      <c r="Q19" s="61">
        <v>0</v>
      </c>
      <c r="R19" s="62"/>
      <c r="S19" s="61"/>
      <c r="T19" s="62"/>
      <c r="U19" s="51">
        <v>0</v>
      </c>
      <c r="V19" s="46">
        <f t="shared" ref="V19:V21" si="18">U19/D19</f>
        <v>0</v>
      </c>
      <c r="W19" s="48">
        <f>SUM(D19-U19)</f>
        <v>906410</v>
      </c>
      <c r="X19" s="49">
        <f t="shared" si="10"/>
        <v>1</v>
      </c>
      <c r="Y19" s="47"/>
    </row>
    <row r="20" spans="1:25" s="50" customFormat="1" ht="24" customHeight="1">
      <c r="A20" s="47" t="s">
        <v>67</v>
      </c>
      <c r="B20" s="48">
        <v>446180</v>
      </c>
      <c r="C20" s="48">
        <v>0</v>
      </c>
      <c r="D20" s="45">
        <f t="shared" si="16"/>
        <v>446180</v>
      </c>
      <c r="E20" s="51">
        <v>99617.74</v>
      </c>
      <c r="F20" s="49">
        <f t="shared" si="17"/>
        <v>0.22326805325205076</v>
      </c>
      <c r="G20" s="61">
        <v>0</v>
      </c>
      <c r="H20" s="62"/>
      <c r="I20" s="61">
        <v>0</v>
      </c>
      <c r="J20" s="62"/>
      <c r="K20" s="61">
        <v>0</v>
      </c>
      <c r="L20" s="62"/>
      <c r="M20" s="61">
        <v>0</v>
      </c>
      <c r="N20" s="62"/>
      <c r="O20" s="61">
        <v>18407.740000000002</v>
      </c>
      <c r="P20" s="62">
        <f>O20/446180</f>
        <v>4.1256309112914072E-2</v>
      </c>
      <c r="Q20" s="61">
        <v>20380</v>
      </c>
      <c r="R20" s="62">
        <f>Q20/446180</f>
        <v>4.5676632749114709E-2</v>
      </c>
      <c r="S20" s="61">
        <v>60830</v>
      </c>
      <c r="T20" s="62">
        <f>S20/446180</f>
        <v>0.13633511139002197</v>
      </c>
      <c r="U20" s="51">
        <v>99617.74</v>
      </c>
      <c r="V20" s="46">
        <f>U20/D20</f>
        <v>0.22326805325205076</v>
      </c>
      <c r="W20" s="48">
        <f>SUM(D20-U20)</f>
        <v>346562.26</v>
      </c>
      <c r="X20" s="49">
        <f t="shared" si="10"/>
        <v>0.77673194674794932</v>
      </c>
      <c r="Y20" s="47"/>
    </row>
    <row r="21" spans="1:25" s="50" customFormat="1" ht="24" customHeight="1">
      <c r="A21" s="47" t="s">
        <v>65</v>
      </c>
      <c r="B21" s="48">
        <v>7625306</v>
      </c>
      <c r="C21" s="48">
        <v>0</v>
      </c>
      <c r="D21" s="45">
        <f t="shared" si="16"/>
        <v>7625306</v>
      </c>
      <c r="E21" s="51">
        <v>7625305.6200000001</v>
      </c>
      <c r="F21" s="49">
        <f t="shared" si="17"/>
        <v>0.99999995016593435</v>
      </c>
      <c r="G21" s="61">
        <v>0</v>
      </c>
      <c r="H21" s="62"/>
      <c r="I21" s="61">
        <v>0</v>
      </c>
      <c r="J21" s="62"/>
      <c r="K21" s="61">
        <v>0</v>
      </c>
      <c r="L21" s="62"/>
      <c r="M21" s="61">
        <v>0</v>
      </c>
      <c r="N21" s="62"/>
      <c r="O21" s="61">
        <v>0</v>
      </c>
      <c r="P21" s="62"/>
      <c r="Q21" s="61">
        <v>7625305.6200000001</v>
      </c>
      <c r="R21" s="62">
        <f>Q21/7625306</f>
        <v>0.99999995016593435</v>
      </c>
      <c r="S21" s="61">
        <v>0</v>
      </c>
      <c r="T21" s="62"/>
      <c r="U21" s="51">
        <v>7625305.6200000001</v>
      </c>
      <c r="V21" s="46">
        <f t="shared" si="18"/>
        <v>0.99999995016593435</v>
      </c>
      <c r="W21" s="48">
        <f>SUM(D21-U21)</f>
        <v>0.37999999988824129</v>
      </c>
      <c r="X21" s="49">
        <f t="shared" si="10"/>
        <v>4.9834065660872005E-8</v>
      </c>
      <c r="Y21" s="47"/>
    </row>
    <row r="22" spans="1:25" s="44" customFormat="1" ht="24" customHeight="1">
      <c r="A22" s="52" t="s">
        <v>48</v>
      </c>
      <c r="B22" s="53">
        <f>SUM(B17:B18)</f>
        <v>141681576</v>
      </c>
      <c r="C22" s="53">
        <f t="shared" ref="C22:E22" si="19">SUM(C17:C18)</f>
        <v>82371.429999999993</v>
      </c>
      <c r="D22" s="53">
        <f>SUM(D17:D18)</f>
        <v>141599204.56999999</v>
      </c>
      <c r="E22" s="53">
        <f t="shared" si="19"/>
        <v>59177860.979999989</v>
      </c>
      <c r="F22" s="54">
        <f>E22/D22</f>
        <v>0.41792509470450617</v>
      </c>
      <c r="G22" s="63">
        <f>SUM(G17:G18)</f>
        <v>96324.63</v>
      </c>
      <c r="H22" s="64"/>
      <c r="I22" s="63" t="e">
        <f>SUM(I17:I18)</f>
        <v>#REF!</v>
      </c>
      <c r="J22" s="64"/>
      <c r="K22" s="63" t="e">
        <f>SUM(K17:K18)</f>
        <v>#REF!</v>
      </c>
      <c r="L22" s="64"/>
      <c r="M22" s="63" t="e">
        <f>SUM(M17:M18)</f>
        <v>#REF!</v>
      </c>
      <c r="N22" s="64"/>
      <c r="O22" s="63" t="e">
        <f>SUM(O17:O18)</f>
        <v>#REF!</v>
      </c>
      <c r="P22" s="64"/>
      <c r="Q22" s="63" t="e">
        <f>SUM(Q17:Q18)</f>
        <v>#REF!</v>
      </c>
      <c r="R22" s="64"/>
      <c r="S22" s="63" t="e">
        <f>SUM(S17:S18)</f>
        <v>#REF!</v>
      </c>
      <c r="T22" s="64"/>
      <c r="U22" s="53">
        <f>SUM(U17:U18)</f>
        <v>46683758.689999998</v>
      </c>
      <c r="V22" s="54">
        <f>U22/D22</f>
        <v>0.32968941338170965</v>
      </c>
      <c r="W22" s="53">
        <f>SUM(W17:W18)</f>
        <v>94915445.88000001</v>
      </c>
      <c r="X22" s="54">
        <f t="shared" si="10"/>
        <v>0.67031058661829046</v>
      </c>
      <c r="Y22" s="55"/>
    </row>
    <row r="23" spans="1:25" ht="16.5" customHeight="1"/>
    <row r="24" spans="1:25" ht="18.75" customHeight="1">
      <c r="A24" s="43" t="s">
        <v>89</v>
      </c>
    </row>
    <row r="25" spans="1:25" ht="18.75" customHeight="1">
      <c r="A25" s="43" t="s">
        <v>90</v>
      </c>
    </row>
    <row r="26" spans="1:25" ht="18.75" customHeight="1">
      <c r="A26" s="43" t="s">
        <v>86</v>
      </c>
      <c r="W26" s="43" t="s">
        <v>49</v>
      </c>
    </row>
  </sheetData>
  <mergeCells count="32">
    <mergeCell ref="A1:Y1"/>
    <mergeCell ref="A2:Y2"/>
    <mergeCell ref="A3:Y3"/>
    <mergeCell ref="A4:A7"/>
    <mergeCell ref="B4:D4"/>
    <mergeCell ref="E4:F4"/>
    <mergeCell ref="G4:T4"/>
    <mergeCell ref="U4:V4"/>
    <mergeCell ref="W4:X4"/>
    <mergeCell ref="Y4:Y7"/>
    <mergeCell ref="N5:N7"/>
    <mergeCell ref="B5:B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U5:U7"/>
    <mergeCell ref="V5:V7"/>
    <mergeCell ref="W5:W7"/>
    <mergeCell ref="X5:X7"/>
    <mergeCell ref="O5:O7"/>
    <mergeCell ref="P5:P7"/>
    <mergeCell ref="Q5:Q7"/>
    <mergeCell ref="R5:R7"/>
    <mergeCell ref="S5:S7"/>
    <mergeCell ref="T5:T7"/>
  </mergeCells>
  <printOptions horizontalCentered="1"/>
  <pageMargins left="0.19685039370078741" right="0.19685039370078741" top="0.39370078740157483" bottom="0.19685039370078741" header="0.31496062992125984" footer="0.31496062992125984"/>
  <pageSetup paperSize="14" scale="85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C9DED2-DDBE-4FB9-B588-6F4CB86822FC}">
  <dimension ref="A1:F18"/>
  <sheetViews>
    <sheetView workbookViewId="0">
      <selection activeCell="H14" sqref="H14"/>
    </sheetView>
  </sheetViews>
  <sheetFormatPr defaultColWidth="9" defaultRowHeight="21"/>
  <cols>
    <col min="1" max="1" width="11.21875" style="56" customWidth="1"/>
    <col min="2" max="2" width="15" style="56" customWidth="1"/>
    <col min="3" max="3" width="18.109375" style="56" customWidth="1"/>
    <col min="4" max="4" width="15.88671875" style="56" customWidth="1"/>
    <col min="5" max="5" width="18.33203125" style="56" customWidth="1"/>
    <col min="6" max="6" width="14.109375" style="56" bestFit="1" customWidth="1"/>
    <col min="7" max="16384" width="9" style="56"/>
  </cols>
  <sheetData>
    <row r="1" spans="1:6">
      <c r="A1" s="187" t="s">
        <v>2</v>
      </c>
      <c r="B1" s="187"/>
      <c r="C1" s="187"/>
      <c r="D1" s="187"/>
      <c r="E1" s="187"/>
      <c r="F1" s="187"/>
    </row>
    <row r="2" spans="1:6">
      <c r="A2" s="187" t="s">
        <v>85</v>
      </c>
      <c r="B2" s="187"/>
      <c r="C2" s="187"/>
      <c r="D2" s="187"/>
      <c r="E2" s="187"/>
      <c r="F2" s="187"/>
    </row>
    <row r="3" spans="1:6" ht="24.9" customHeight="1">
      <c r="A3" s="57"/>
      <c r="B3" s="57" t="s">
        <v>22</v>
      </c>
      <c r="C3" s="57" t="s">
        <v>23</v>
      </c>
      <c r="D3" s="57" t="s">
        <v>24</v>
      </c>
      <c r="E3" s="57" t="s">
        <v>25</v>
      </c>
      <c r="F3" s="57" t="s">
        <v>77</v>
      </c>
    </row>
    <row r="4" spans="1:6" ht="24.9" customHeight="1">
      <c r="A4" s="57" t="s">
        <v>68</v>
      </c>
      <c r="B4" s="80">
        <v>166210</v>
      </c>
      <c r="C4" s="80">
        <f>SUM(71914+8546255)</f>
        <v>8618169</v>
      </c>
      <c r="D4" s="80">
        <f>SUM(43687.7+60144)</f>
        <v>103831.7</v>
      </c>
      <c r="E4" s="80">
        <f>SUM(14480+159333)</f>
        <v>173813</v>
      </c>
      <c r="F4" s="57">
        <f t="shared" ref="F4:F16" si="0">SUM(B4:E4)</f>
        <v>9062023.6999999993</v>
      </c>
    </row>
    <row r="5" spans="1:6" ht="24.9" customHeight="1">
      <c r="A5" s="57" t="s">
        <v>69</v>
      </c>
      <c r="B5" s="80">
        <v>237560</v>
      </c>
      <c r="C5" s="80">
        <v>338400</v>
      </c>
      <c r="D5" s="80">
        <f>SUM(7272.5+26250)</f>
        <v>33522.5</v>
      </c>
      <c r="E5" s="80">
        <f>SUM(1070+11050)</f>
        <v>12120</v>
      </c>
      <c r="F5" s="57">
        <f t="shared" si="0"/>
        <v>621602.5</v>
      </c>
    </row>
    <row r="6" spans="1:6" ht="24.9" customHeight="1">
      <c r="A6" s="57" t="s">
        <v>19</v>
      </c>
      <c r="B6" s="80">
        <v>84300</v>
      </c>
      <c r="C6" s="80">
        <f>SUM(88000+166620)</f>
        <v>254620</v>
      </c>
      <c r="D6" s="80">
        <f>SUM(8337.2+104755)</f>
        <v>113092.2</v>
      </c>
      <c r="E6" s="80">
        <v>47400</v>
      </c>
      <c r="F6" s="57">
        <f t="shared" si="0"/>
        <v>499412.2</v>
      </c>
    </row>
    <row r="7" spans="1:6" ht="24.9" customHeight="1">
      <c r="A7" s="57" t="s">
        <v>20</v>
      </c>
      <c r="B7" s="80">
        <v>70200</v>
      </c>
      <c r="C7" s="80">
        <f>SUM(3436+130800)</f>
        <v>134236</v>
      </c>
      <c r="D7" s="80">
        <v>21756.6</v>
      </c>
      <c r="E7" s="80">
        <f>SUM(23890+2600)</f>
        <v>26490</v>
      </c>
      <c r="F7" s="57">
        <f t="shared" si="0"/>
        <v>252682.6</v>
      </c>
    </row>
    <row r="8" spans="1:6" ht="24.9" customHeight="1">
      <c r="A8" s="57" t="s">
        <v>70</v>
      </c>
      <c r="B8" s="80">
        <v>8150178.6799999997</v>
      </c>
      <c r="C8" s="80">
        <v>751705</v>
      </c>
      <c r="D8" s="80">
        <v>124868.1</v>
      </c>
      <c r="E8" s="80">
        <v>666000</v>
      </c>
      <c r="F8" s="57">
        <f t="shared" si="0"/>
        <v>9692751.7799999993</v>
      </c>
    </row>
    <row r="9" spans="1:6" ht="24.9" customHeight="1">
      <c r="A9" s="57" t="s">
        <v>71</v>
      </c>
      <c r="B9" s="80">
        <v>2695905</v>
      </c>
      <c r="C9" s="80">
        <f>SUM(3004+21980)</f>
        <v>24984</v>
      </c>
      <c r="D9" s="80">
        <f>SUM(147822.7+73412)</f>
        <v>221234.7</v>
      </c>
      <c r="E9" s="80">
        <v>36464</v>
      </c>
      <c r="F9" s="57">
        <f t="shared" si="0"/>
        <v>2978587.7</v>
      </c>
    </row>
    <row r="10" spans="1:6" ht="24.9" customHeight="1">
      <c r="A10" s="57" t="s">
        <v>72</v>
      </c>
      <c r="B10" s="80">
        <v>401080</v>
      </c>
      <c r="C10" s="80">
        <f>SUM(3600+206090)</f>
        <v>209690</v>
      </c>
      <c r="D10" s="80">
        <f>SUM(25096.2+51351)</f>
        <v>76447.199999999997</v>
      </c>
      <c r="E10" s="80">
        <v>9100</v>
      </c>
      <c r="F10" s="57">
        <f t="shared" si="0"/>
        <v>696317.2</v>
      </c>
    </row>
    <row r="11" spans="1:6" ht="24.9" customHeight="1">
      <c r="A11" s="57" t="s">
        <v>73</v>
      </c>
      <c r="B11" s="80">
        <v>337590</v>
      </c>
      <c r="C11" s="80">
        <f>SUM(52868+1140534)</f>
        <v>1193402</v>
      </c>
      <c r="D11" s="80">
        <v>51052.4</v>
      </c>
      <c r="E11" s="80">
        <v>40300</v>
      </c>
      <c r="F11" s="57">
        <f t="shared" si="0"/>
        <v>1622344.4</v>
      </c>
    </row>
    <row r="12" spans="1:6" ht="24.9" customHeight="1">
      <c r="A12" s="57" t="s">
        <v>21</v>
      </c>
      <c r="B12" s="80">
        <v>453180</v>
      </c>
      <c r="C12" s="80">
        <v>81092</v>
      </c>
      <c r="D12" s="80"/>
      <c r="E12" s="80">
        <v>128340</v>
      </c>
      <c r="F12" s="57">
        <f t="shared" si="0"/>
        <v>662612</v>
      </c>
    </row>
    <row r="13" spans="1:6" ht="24.9" customHeight="1">
      <c r="A13" s="57" t="s">
        <v>74</v>
      </c>
      <c r="B13" s="80">
        <v>2875461.45</v>
      </c>
      <c r="C13" s="80">
        <f>SUM(137029+378605)</f>
        <v>515634</v>
      </c>
      <c r="D13" s="80">
        <f>SUM(45539.5+38000)</f>
        <v>83539.5</v>
      </c>
      <c r="E13" s="80">
        <f>SUM(186480+215464.65)</f>
        <v>401944.65</v>
      </c>
      <c r="F13" s="57">
        <f t="shared" si="0"/>
        <v>3876579.6</v>
      </c>
    </row>
    <row r="14" spans="1:6" ht="24.9" customHeight="1">
      <c r="A14" s="57" t="s">
        <v>75</v>
      </c>
      <c r="B14" s="80">
        <v>6460</v>
      </c>
      <c r="C14" s="80">
        <v>553520</v>
      </c>
      <c r="D14" s="80">
        <v>35256.300000000003</v>
      </c>
      <c r="E14" s="80">
        <f>SUM(30420+7800)</f>
        <v>38220</v>
      </c>
      <c r="F14" s="57">
        <f t="shared" si="0"/>
        <v>633456.30000000005</v>
      </c>
    </row>
    <row r="15" spans="1:6" ht="24.9" customHeight="1">
      <c r="A15" s="57" t="s">
        <v>76</v>
      </c>
      <c r="B15" s="80">
        <v>134800</v>
      </c>
      <c r="C15" s="80">
        <f>SUM(74500+7165934)</f>
        <v>7240434</v>
      </c>
      <c r="D15" s="80">
        <f>SUM(16680.7+21000)</f>
        <v>37680.699999999997</v>
      </c>
      <c r="E15" s="80">
        <f>SUM(1070+17600)</f>
        <v>18670</v>
      </c>
      <c r="F15" s="57">
        <f t="shared" si="0"/>
        <v>7431584.7000000002</v>
      </c>
    </row>
    <row r="16" spans="1:6" ht="24.9" customHeight="1">
      <c r="A16" s="57" t="s">
        <v>77</v>
      </c>
      <c r="B16" s="57">
        <f>SUM(B4:B15)</f>
        <v>15612925.129999999</v>
      </c>
      <c r="C16" s="57">
        <f>SUM(C4:C15)</f>
        <v>19915886</v>
      </c>
      <c r="D16" s="57">
        <f>SUM(D4:D15)</f>
        <v>902281.9</v>
      </c>
      <c r="E16" s="57">
        <f>SUM(E4:E15)</f>
        <v>1598861.65</v>
      </c>
      <c r="F16" s="58">
        <f t="shared" si="0"/>
        <v>38029954.679999992</v>
      </c>
    </row>
    <row r="17" spans="4:6">
      <c r="D17" s="162" t="s">
        <v>87</v>
      </c>
      <c r="E17" s="162"/>
      <c r="F17" s="56">
        <f>รายงาน!E11</f>
        <v>1669794</v>
      </c>
    </row>
    <row r="18" spans="4:6">
      <c r="D18" s="163" t="s">
        <v>88</v>
      </c>
      <c r="E18" s="163"/>
      <c r="F18" s="56">
        <f>SUM(F16-F17)</f>
        <v>36360160.679999992</v>
      </c>
    </row>
  </sheetData>
  <mergeCells count="4">
    <mergeCell ref="A1:F1"/>
    <mergeCell ref="A2:F2"/>
    <mergeCell ref="D17:E17"/>
    <mergeCell ref="D18:E1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A40727-642E-4D3A-9A7F-2B23DD94135C}">
  <dimension ref="A1:H26"/>
  <sheetViews>
    <sheetView zoomScale="98" zoomScaleNormal="98" workbookViewId="0">
      <selection activeCell="L25" sqref="L25"/>
    </sheetView>
  </sheetViews>
  <sheetFormatPr defaultColWidth="9" defaultRowHeight="21"/>
  <cols>
    <col min="1" max="5" width="9" style="1"/>
    <col min="6" max="6" width="9" style="1" customWidth="1"/>
    <col min="7" max="7" width="0.88671875" style="1" customWidth="1"/>
    <col min="8" max="8" width="40.33203125" style="1" customWidth="1"/>
    <col min="9" max="9" width="18.21875" style="1" customWidth="1"/>
    <col min="10" max="16384" width="9" style="1"/>
  </cols>
  <sheetData>
    <row r="1" spans="1:8" s="4" customFormat="1">
      <c r="A1" s="164" t="s">
        <v>101</v>
      </c>
      <c r="B1" s="164"/>
      <c r="C1" s="164"/>
      <c r="D1" s="164"/>
      <c r="E1" s="164"/>
      <c r="F1" s="164"/>
      <c r="G1" s="164"/>
      <c r="H1" s="164"/>
    </row>
    <row r="2" spans="1:8" s="4" customFormat="1">
      <c r="A2" s="164" t="s">
        <v>102</v>
      </c>
      <c r="B2" s="164"/>
      <c r="C2" s="164"/>
      <c r="D2" s="164"/>
      <c r="E2" s="164"/>
      <c r="F2" s="164"/>
      <c r="G2" s="164"/>
      <c r="H2" s="164"/>
    </row>
    <row r="3" spans="1:8" s="4" customFormat="1"/>
    <row r="12" spans="1:8">
      <c r="G12" s="4"/>
    </row>
    <row r="16" spans="1:8">
      <c r="H16" s="4" t="s">
        <v>103</v>
      </c>
    </row>
    <row r="17" spans="8:8">
      <c r="H17" s="1" t="s">
        <v>105</v>
      </c>
    </row>
    <row r="18" spans="8:8">
      <c r="H18" s="1" t="s">
        <v>108</v>
      </c>
    </row>
    <row r="19" spans="8:8">
      <c r="H19" s="1" t="s">
        <v>104</v>
      </c>
    </row>
    <row r="20" spans="8:8">
      <c r="H20" s="1" t="s">
        <v>109</v>
      </c>
    </row>
    <row r="21" spans="8:8">
      <c r="H21" s="1" t="s">
        <v>110</v>
      </c>
    </row>
    <row r="22" spans="8:8" s="98" customFormat="1" ht="63">
      <c r="H22" s="99" t="s">
        <v>112</v>
      </c>
    </row>
    <row r="23" spans="8:8" ht="42">
      <c r="H23" s="97" t="s">
        <v>106</v>
      </c>
    </row>
    <row r="24" spans="8:8">
      <c r="H24" s="100" t="s">
        <v>107</v>
      </c>
    </row>
    <row r="25" spans="8:8" ht="42">
      <c r="H25" s="97" t="s">
        <v>111</v>
      </c>
    </row>
    <row r="26" spans="8:8">
      <c r="H26" s="101" t="s">
        <v>113</v>
      </c>
    </row>
  </sheetData>
  <mergeCells count="2">
    <mergeCell ref="A1:H1"/>
    <mergeCell ref="A2:H2"/>
  </mergeCells>
  <printOptions horizontalCentered="1"/>
  <pageMargins left="0.19685039370078741" right="0.19685039370078741" top="0.74803149606299213" bottom="0.74803149606299213" header="0.31496062992125984" footer="0.31496062992125984"/>
  <pageSetup paperSize="9" scale="9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5</vt:i4>
      </vt:variant>
    </vt:vector>
  </HeadingPairs>
  <TitlesOfParts>
    <vt:vector size="17" baseType="lpstr">
      <vt:lpstr>ผลการใช้จ่าย ไตรมาส 1</vt:lpstr>
      <vt:lpstr>ผลการใช้จ่าย ไตรมาส 2</vt:lpstr>
      <vt:lpstr>ปัญหา-อุปสรรค</vt:lpstr>
      <vt:lpstr>ผลการใช้จ่าย ไตรมาส 3</vt:lpstr>
      <vt:lpstr>ผลการใช้จ่าย ไตรมาส 4</vt:lpstr>
      <vt:lpstr>รายละเอียด</vt:lpstr>
      <vt:lpstr>รายละเอียดผลการใช้จ่าย</vt:lpstr>
      <vt:lpstr>Sheet3</vt:lpstr>
      <vt:lpstr>รายงาน</vt:lpstr>
      <vt:lpstr>รายงานตัวชี้วัด</vt:lpstr>
      <vt:lpstr>ผลการก่อหนี้</vt:lpstr>
      <vt:lpstr>เบิกเหลื่อมปี</vt:lpstr>
      <vt:lpstr>'ผลการใช้จ่าย ไตรมาส 1'!Print_Area</vt:lpstr>
      <vt:lpstr>'ผลการใช้จ่าย ไตรมาส 2'!Print_Area</vt:lpstr>
      <vt:lpstr>'ผลการใช้จ่าย ไตรมาส 3'!Print_Area</vt:lpstr>
      <vt:lpstr>'ผลการใช้จ่าย ไตรมาส 4'!Print_Area</vt:lpstr>
      <vt:lpstr>รายละเอียด!Print_Titles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DUSIT</dc:creator>
  <cp:lastModifiedBy>bma04697</cp:lastModifiedBy>
  <cp:lastPrinted>2025-04-01T02:03:32Z</cp:lastPrinted>
  <dcterms:created xsi:type="dcterms:W3CDTF">2022-02-02T04:22:27Z</dcterms:created>
  <dcterms:modified xsi:type="dcterms:W3CDTF">2025-04-15T05:36:02Z</dcterms:modified>
</cp:coreProperties>
</file>