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SIT\Desktop\arin 2566\ตัวชี้วัด\OIT\O17\"/>
    </mc:Choice>
  </mc:AlternateContent>
  <xr:revisionPtr revIDLastSave="0" documentId="13_ncr:1_{D720B8FF-31CB-4C26-B391-96022BFF1E38}" xr6:coauthVersionLast="47" xr6:coauthVersionMax="47" xr10:uidLastSave="{00000000-0000-0000-0000-000000000000}"/>
  <bookViews>
    <workbookView xWindow="-120" yWindow="-120" windowWidth="21840" windowHeight="13020" activeTab="1" xr2:uid="{AE355942-4793-4ACF-85BD-9D1CB95EF403}"/>
  </bookViews>
  <sheets>
    <sheet name="ผลการใช้จ่าย ไตรมาส 1" sheetId="1" r:id="rId1"/>
    <sheet name="ผลการใช้จ่าย ไตรมาส 2" sheetId="8" r:id="rId2"/>
    <sheet name="รายละเอียดผลการใช้จ่าย" sheetId="6" state="hidden" r:id="rId3"/>
    <sheet name="Sheet3" sheetId="3" state="hidden" r:id="rId4"/>
    <sheet name="รายงาน" sheetId="4" state="hidden" r:id="rId5"/>
    <sheet name="รายงานตัวชี้วัด" sheetId="5" state="hidden" r:id="rId6"/>
    <sheet name="ผลการก่อหนี้" sheetId="2" state="hidden" r:id="rId7"/>
    <sheet name="เบิกเหลื่อมปี" sheetId="7" state="hidden" r:id="rId8"/>
  </sheets>
  <definedNames>
    <definedName name="_xlnm.Print_Area" localSheetId="0">'ผลการใช้จ่าย ไตรมาส 1'!$A$1:$H$33</definedName>
    <definedName name="_xlnm.Print_Area" localSheetId="1">'ผลการใช้จ่าย ไตรมาส 2'!$A$1:$H$33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8" l="1"/>
  <c r="K16" i="8"/>
  <c r="B16" i="8"/>
  <c r="D15" i="8"/>
  <c r="G15" i="8" s="1"/>
  <c r="H15" i="8" s="1"/>
  <c r="D14" i="8"/>
  <c r="G14" i="8" s="1"/>
  <c r="H14" i="8" s="1"/>
  <c r="D13" i="8"/>
  <c r="G13" i="8" s="1"/>
  <c r="H13" i="8" s="1"/>
  <c r="G12" i="8"/>
  <c r="H12" i="8" s="1"/>
  <c r="D12" i="8"/>
  <c r="F12" i="8" s="1"/>
  <c r="E10" i="8"/>
  <c r="E16" i="8" s="1"/>
  <c r="C10" i="8"/>
  <c r="C16" i="8" s="1"/>
  <c r="B10" i="8"/>
  <c r="D9" i="8"/>
  <c r="G9" i="8" s="1"/>
  <c r="H9" i="8" s="1"/>
  <c r="D8" i="8"/>
  <c r="G8" i="8" s="1"/>
  <c r="H8" i="8" s="1"/>
  <c r="D7" i="8"/>
  <c r="G7" i="8" s="1"/>
  <c r="H7" i="8" s="1"/>
  <c r="D6" i="8"/>
  <c r="G6" i="8" s="1"/>
  <c r="H6" i="8" s="1"/>
  <c r="K19" i="1"/>
  <c r="K16" i="1"/>
  <c r="E10" i="1"/>
  <c r="E16" i="1" s="1"/>
  <c r="C16" i="1"/>
  <c r="B16" i="1"/>
  <c r="G6" i="1"/>
  <c r="H6" i="1" s="1"/>
  <c r="F6" i="1"/>
  <c r="C10" i="1"/>
  <c r="D10" i="8" l="1"/>
  <c r="F13" i="8"/>
  <c r="F14" i="8"/>
  <c r="F15" i="8"/>
  <c r="F6" i="8"/>
  <c r="F7" i="8"/>
  <c r="F8" i="8"/>
  <c r="F9" i="8"/>
  <c r="F10" i="8"/>
  <c r="J12" i="8" l="1"/>
  <c r="J19" i="8"/>
  <c r="D16" i="8"/>
  <c r="F16" i="8" s="1"/>
  <c r="G10" i="8"/>
  <c r="F20" i="8" l="1"/>
  <c r="J16" i="8"/>
  <c r="J9" i="8"/>
  <c r="G16" i="8"/>
  <c r="H16" i="8" s="1"/>
  <c r="K9" i="8" s="1"/>
  <c r="H10" i="8"/>
  <c r="K12" i="8" s="1"/>
  <c r="B10" i="1" l="1"/>
  <c r="D13" i="1"/>
  <c r="F13" i="1" s="1"/>
  <c r="D12" i="1"/>
  <c r="D7" i="1"/>
  <c r="D8" i="1"/>
  <c r="G8" i="1" s="1"/>
  <c r="H8" i="1" s="1"/>
  <c r="D9" i="1"/>
  <c r="G9" i="1" s="1"/>
  <c r="H9" i="1" s="1"/>
  <c r="D6" i="1"/>
  <c r="D15" i="1"/>
  <c r="D14" i="1"/>
  <c r="G15" i="1" l="1"/>
  <c r="D16" i="1"/>
  <c r="D10" i="1"/>
  <c r="G10" i="1" s="1"/>
  <c r="H10" i="1" s="1"/>
  <c r="K12" i="1" s="1"/>
  <c r="F7" i="1"/>
  <c r="G7" i="1"/>
  <c r="H7" i="1" s="1"/>
  <c r="G13" i="1"/>
  <c r="H13" i="1" s="1"/>
  <c r="F15" i="1"/>
  <c r="F8" i="1"/>
  <c r="F12" i="1"/>
  <c r="G12" i="1"/>
  <c r="H12" i="1" s="1"/>
  <c r="F14" i="1"/>
  <c r="G14" i="1"/>
  <c r="F9" i="1"/>
  <c r="F16" i="1" l="1"/>
  <c r="F10" i="1"/>
  <c r="G16" i="1"/>
  <c r="J12" i="1" l="1"/>
  <c r="J19" i="1"/>
  <c r="F20" i="1"/>
  <c r="J16" i="1"/>
  <c r="J9" i="1"/>
  <c r="H16" i="1"/>
  <c r="K9" i="1" s="1"/>
  <c r="D16" i="6"/>
  <c r="C16" i="6"/>
  <c r="E15" i="6"/>
  <c r="D15" i="6"/>
  <c r="F15" i="6" s="1"/>
  <c r="E14" i="6"/>
  <c r="D14" i="6"/>
  <c r="C14" i="6"/>
  <c r="C12" i="6"/>
  <c r="E11" i="6"/>
  <c r="F11" i="6" s="1"/>
  <c r="D11" i="6"/>
  <c r="C11" i="6"/>
  <c r="E10" i="6"/>
  <c r="D10" i="6"/>
  <c r="C10" i="6"/>
  <c r="D9" i="6"/>
  <c r="E8" i="6"/>
  <c r="D8" i="6"/>
  <c r="C8" i="6"/>
  <c r="E7" i="6"/>
  <c r="D7" i="6"/>
  <c r="C7" i="6"/>
  <c r="E6" i="6"/>
  <c r="F6" i="6" s="1"/>
  <c r="D6" i="6"/>
  <c r="E5" i="6"/>
  <c r="D5" i="6"/>
  <c r="C5" i="6"/>
  <c r="F18" i="6"/>
  <c r="B17" i="6"/>
  <c r="F16" i="6"/>
  <c r="F13" i="6"/>
  <c r="F12" i="6"/>
  <c r="F9" i="6"/>
  <c r="F8" i="6"/>
  <c r="C17" i="5"/>
  <c r="B17" i="5"/>
  <c r="W22" i="5"/>
  <c r="X22" i="5"/>
  <c r="X17" i="5"/>
  <c r="V17" i="5"/>
  <c r="F17" i="5"/>
  <c r="D17" i="5"/>
  <c r="E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R21" i="5"/>
  <c r="D21" i="5"/>
  <c r="F21" i="5" s="1"/>
  <c r="T20" i="5"/>
  <c r="R20" i="5"/>
  <c r="P20" i="5"/>
  <c r="D20" i="5"/>
  <c r="V20" i="5" s="1"/>
  <c r="W19" i="5"/>
  <c r="X19" i="5" s="1"/>
  <c r="D19" i="5"/>
  <c r="V19" i="5" s="1"/>
  <c r="U18" i="5"/>
  <c r="S18" i="5"/>
  <c r="T18" i="5" s="1"/>
  <c r="Q18" i="5"/>
  <c r="R18" i="5" s="1"/>
  <c r="O18" i="5"/>
  <c r="P18" i="5" s="1"/>
  <c r="M18" i="5"/>
  <c r="K18" i="5"/>
  <c r="I18" i="5"/>
  <c r="G18" i="5"/>
  <c r="E18" i="5"/>
  <c r="D18" i="5"/>
  <c r="W18" i="5" s="1"/>
  <c r="X18" i="5" s="1"/>
  <c r="C18" i="5"/>
  <c r="B18" i="5"/>
  <c r="D16" i="5"/>
  <c r="T16" i="5" s="1"/>
  <c r="R15" i="5"/>
  <c r="J15" i="5"/>
  <c r="D15" i="5"/>
  <c r="P15" i="5" s="1"/>
  <c r="V14" i="5"/>
  <c r="D14" i="5"/>
  <c r="F14" i="5" s="1"/>
  <c r="W13" i="5"/>
  <c r="X13" i="5" s="1"/>
  <c r="F13" i="5"/>
  <c r="D13" i="5"/>
  <c r="P13" i="5" s="1"/>
  <c r="U12" i="5"/>
  <c r="S12" i="5"/>
  <c r="S11" i="5" s="1"/>
  <c r="Q12" i="5"/>
  <c r="Q11" i="5" s="1"/>
  <c r="O12" i="5"/>
  <c r="M12" i="5"/>
  <c r="K12" i="5"/>
  <c r="I12" i="5"/>
  <c r="I11" i="5" s="1"/>
  <c r="G12" i="5"/>
  <c r="E12" i="5"/>
  <c r="C12" i="5"/>
  <c r="C11" i="5" s="1"/>
  <c r="B12" i="5"/>
  <c r="B11" i="5" s="1"/>
  <c r="U11" i="5"/>
  <c r="O11" i="5"/>
  <c r="M11" i="5"/>
  <c r="K11" i="5"/>
  <c r="G11" i="5"/>
  <c r="E11" i="5"/>
  <c r="N10" i="5"/>
  <c r="J10" i="5"/>
  <c r="D10" i="5"/>
  <c r="T10" i="5" s="1"/>
  <c r="S9" i="5"/>
  <c r="T9" i="5" s="1"/>
  <c r="Q9" i="5"/>
  <c r="R9" i="5" s="1"/>
  <c r="O9" i="5"/>
  <c r="P9" i="5" s="1"/>
  <c r="M9" i="5"/>
  <c r="N9" i="5" s="1"/>
  <c r="K9" i="5"/>
  <c r="L9" i="5" s="1"/>
  <c r="I9" i="5"/>
  <c r="J9" i="5" s="1"/>
  <c r="H9" i="5"/>
  <c r="E9" i="5"/>
  <c r="E8" i="5" s="1"/>
  <c r="D9" i="5"/>
  <c r="O8" i="5"/>
  <c r="K8" i="5"/>
  <c r="G8" i="5"/>
  <c r="C8" i="5"/>
  <c r="B8" i="5"/>
  <c r="D8" i="5" s="1"/>
  <c r="B22" i="5"/>
  <c r="F16" i="2"/>
  <c r="E16" i="2"/>
  <c r="D16" i="2"/>
  <c r="C16" i="2"/>
  <c r="B16" i="2"/>
  <c r="E15" i="2"/>
  <c r="D15" i="2"/>
  <c r="C15" i="2"/>
  <c r="E14" i="2"/>
  <c r="E13" i="2"/>
  <c r="D13" i="2"/>
  <c r="C13" i="2"/>
  <c r="C11" i="2"/>
  <c r="D10" i="2"/>
  <c r="C10" i="2"/>
  <c r="D9" i="2"/>
  <c r="C9" i="2"/>
  <c r="E7" i="2"/>
  <c r="C7" i="2"/>
  <c r="D6" i="2"/>
  <c r="C6" i="2"/>
  <c r="E5" i="2"/>
  <c r="D5" i="2"/>
  <c r="E4" i="2"/>
  <c r="C4" i="2"/>
  <c r="F4" i="2" s="1"/>
  <c r="D4" i="2"/>
  <c r="S8" i="4"/>
  <c r="U22" i="4"/>
  <c r="S22" i="4"/>
  <c r="T22" i="4" s="1"/>
  <c r="S16" i="4"/>
  <c r="S15" i="4" s="1"/>
  <c r="U11" i="4"/>
  <c r="U13" i="4" s="1"/>
  <c r="S13" i="4"/>
  <c r="T24" i="4"/>
  <c r="R24" i="4"/>
  <c r="G8" i="4"/>
  <c r="F14" i="6" l="1"/>
  <c r="C17" i="6"/>
  <c r="F10" i="6"/>
  <c r="F7" i="6"/>
  <c r="E17" i="6"/>
  <c r="F5" i="6"/>
  <c r="D17" i="6"/>
  <c r="C22" i="5"/>
  <c r="S8" i="5"/>
  <c r="I8" i="5"/>
  <c r="J8" i="5" s="1"/>
  <c r="Q8" i="5"/>
  <c r="R8" i="5" s="1"/>
  <c r="R10" i="5"/>
  <c r="D12" i="5"/>
  <c r="W12" i="5" s="1"/>
  <c r="X12" i="5" s="1"/>
  <c r="L13" i="5"/>
  <c r="W14" i="5"/>
  <c r="X14" i="5" s="1"/>
  <c r="W20" i="5"/>
  <c r="X20" i="5" s="1"/>
  <c r="M8" i="5"/>
  <c r="F10" i="5"/>
  <c r="V10" i="5"/>
  <c r="N13" i="5"/>
  <c r="F19" i="5"/>
  <c r="D11" i="5"/>
  <c r="W11" i="5" s="1"/>
  <c r="X11" i="5" s="1"/>
  <c r="V13" i="5"/>
  <c r="G22" i="5"/>
  <c r="F8" i="5"/>
  <c r="V9" i="5"/>
  <c r="T8" i="5"/>
  <c r="P8" i="5"/>
  <c r="L8" i="5"/>
  <c r="H8" i="5"/>
  <c r="N8" i="5"/>
  <c r="W9" i="5"/>
  <c r="N16" i="5"/>
  <c r="F9" i="5"/>
  <c r="H10" i="5"/>
  <c r="P10" i="5"/>
  <c r="W10" i="5"/>
  <c r="X10" i="5" s="1"/>
  <c r="L15" i="5"/>
  <c r="V15" i="5"/>
  <c r="F16" i="5"/>
  <c r="P16" i="5"/>
  <c r="W16" i="5"/>
  <c r="X16" i="5" s="1"/>
  <c r="V21" i="5"/>
  <c r="F12" i="5"/>
  <c r="L12" i="5"/>
  <c r="P12" i="5"/>
  <c r="N15" i="5"/>
  <c r="W15" i="5"/>
  <c r="X15" i="5" s="1"/>
  <c r="J16" i="5"/>
  <c r="R16" i="5"/>
  <c r="F18" i="5"/>
  <c r="V18" i="5"/>
  <c r="W21" i="5"/>
  <c r="X21" i="5" s="1"/>
  <c r="N12" i="5"/>
  <c r="V16" i="5"/>
  <c r="L10" i="5"/>
  <c r="F15" i="5"/>
  <c r="L16" i="5"/>
  <c r="F20" i="5"/>
  <c r="E11" i="4"/>
  <c r="F17" i="2"/>
  <c r="F18" i="2" s="1"/>
  <c r="E13" i="4" s="1"/>
  <c r="S12" i="4"/>
  <c r="S21" i="4" s="1"/>
  <c r="F17" i="6" l="1"/>
  <c r="F19" i="6" s="1"/>
  <c r="V12" i="5"/>
  <c r="L11" i="5"/>
  <c r="P11" i="5"/>
  <c r="F11" i="5"/>
  <c r="N11" i="5"/>
  <c r="V11" i="5"/>
  <c r="K22" i="5"/>
  <c r="X9" i="5"/>
  <c r="W8" i="5"/>
  <c r="W17" i="5" s="1"/>
  <c r="Q22" i="5"/>
  <c r="V8" i="5"/>
  <c r="M22" i="5"/>
  <c r="S22" i="5"/>
  <c r="I22" i="5"/>
  <c r="O22" i="5"/>
  <c r="S26" i="4"/>
  <c r="D22" i="5" l="1"/>
  <c r="U22" i="5"/>
  <c r="X8" i="5"/>
  <c r="V22" i="5" l="1"/>
  <c r="E22" i="5"/>
  <c r="F22" i="5" s="1"/>
  <c r="U12" i="4"/>
  <c r="U8" i="4"/>
  <c r="U16" i="4"/>
  <c r="U15" i="4" s="1"/>
  <c r="Q8" i="4"/>
  <c r="Q16" i="4"/>
  <c r="Q15" i="4" s="1"/>
  <c r="Q22" i="4"/>
  <c r="R22" i="4" s="1"/>
  <c r="R25" i="4"/>
  <c r="P24" i="4"/>
  <c r="Q13" i="4"/>
  <c r="O8" i="4"/>
  <c r="O16" i="4"/>
  <c r="O22" i="4"/>
  <c r="P22" i="4" s="1"/>
  <c r="O13" i="4"/>
  <c r="M8" i="4"/>
  <c r="M16" i="4"/>
  <c r="M22" i="4"/>
  <c r="M13" i="4"/>
  <c r="M12" i="4" s="1"/>
  <c r="K8" i="4"/>
  <c r="K16" i="4"/>
  <c r="K22" i="4"/>
  <c r="K13" i="4"/>
  <c r="I22" i="4"/>
  <c r="I16" i="4"/>
  <c r="I15" i="4" s="1"/>
  <c r="I12" i="4"/>
  <c r="I8" i="4"/>
  <c r="I13" i="4"/>
  <c r="G22" i="4"/>
  <c r="G16" i="4"/>
  <c r="G15" i="4" s="1"/>
  <c r="G21" i="4" s="1"/>
  <c r="G12" i="4"/>
  <c r="E12" i="4"/>
  <c r="E8" i="4"/>
  <c r="D23" i="4"/>
  <c r="V23" i="4" s="1"/>
  <c r="D24" i="4"/>
  <c r="D25" i="4"/>
  <c r="V25" i="4" s="1"/>
  <c r="D19" i="4"/>
  <c r="C8" i="4"/>
  <c r="D9" i="4"/>
  <c r="D10" i="4"/>
  <c r="D11" i="4"/>
  <c r="D12" i="4"/>
  <c r="T12" i="4" s="1"/>
  <c r="D13" i="4"/>
  <c r="V13" i="4" s="1"/>
  <c r="D14" i="4"/>
  <c r="D17" i="4"/>
  <c r="D18" i="4"/>
  <c r="D20" i="4"/>
  <c r="V20" i="4" s="1"/>
  <c r="C22" i="4"/>
  <c r="E22" i="4"/>
  <c r="B22" i="4"/>
  <c r="D22" i="4" s="1"/>
  <c r="W22" i="4" s="1"/>
  <c r="X22" i="4" s="1"/>
  <c r="C16" i="4"/>
  <c r="E16" i="4"/>
  <c r="B16" i="4"/>
  <c r="B15" i="4"/>
  <c r="C12" i="4"/>
  <c r="B12" i="4"/>
  <c r="B8" i="4"/>
  <c r="F5" i="2"/>
  <c r="F6" i="2"/>
  <c r="F7" i="2"/>
  <c r="F8" i="2"/>
  <c r="F9" i="2"/>
  <c r="F10" i="2"/>
  <c r="F11" i="2"/>
  <c r="F12" i="2"/>
  <c r="F13" i="2"/>
  <c r="F14" i="2"/>
  <c r="F15" i="2"/>
  <c r="P13" i="4" l="1"/>
  <c r="R13" i="4"/>
  <c r="J13" i="4"/>
  <c r="Q12" i="4"/>
  <c r="R12" i="4" s="1"/>
  <c r="L13" i="4"/>
  <c r="F22" i="4"/>
  <c r="N11" i="4"/>
  <c r="R11" i="4"/>
  <c r="J11" i="4"/>
  <c r="P11" i="4"/>
  <c r="H11" i="4"/>
  <c r="W11" i="4"/>
  <c r="X11" i="4" s="1"/>
  <c r="T11" i="4"/>
  <c r="L11" i="4"/>
  <c r="F11" i="4"/>
  <c r="V12" i="4"/>
  <c r="F18" i="4"/>
  <c r="W18" i="4"/>
  <c r="X18" i="4" s="1"/>
  <c r="V24" i="4"/>
  <c r="W24" i="4"/>
  <c r="X24" i="4" s="1"/>
  <c r="F24" i="4"/>
  <c r="W17" i="4"/>
  <c r="X17" i="4" s="1"/>
  <c r="F17" i="4"/>
  <c r="L17" i="4"/>
  <c r="P17" i="4"/>
  <c r="N17" i="4"/>
  <c r="D8" i="4"/>
  <c r="F12" i="4"/>
  <c r="J12" i="4"/>
  <c r="K15" i="4"/>
  <c r="V18" i="4"/>
  <c r="R19" i="4"/>
  <c r="P19" i="4"/>
  <c r="N19" i="4"/>
  <c r="W19" i="4"/>
  <c r="X19" i="4" s="1"/>
  <c r="J19" i="4"/>
  <c r="L19" i="4"/>
  <c r="F19" i="4"/>
  <c r="W23" i="4"/>
  <c r="X23" i="4" s="1"/>
  <c r="F23" i="4"/>
  <c r="M15" i="4"/>
  <c r="M21" i="4" s="1"/>
  <c r="V17" i="4"/>
  <c r="V11" i="4"/>
  <c r="E15" i="4"/>
  <c r="E21" i="4" s="1"/>
  <c r="P14" i="4"/>
  <c r="N14" i="4"/>
  <c r="W14" i="4"/>
  <c r="F14" i="4"/>
  <c r="L14" i="4"/>
  <c r="J14" i="4"/>
  <c r="T14" i="4"/>
  <c r="H14" i="4"/>
  <c r="R14" i="4"/>
  <c r="P10" i="4"/>
  <c r="H10" i="4"/>
  <c r="L10" i="4"/>
  <c r="F10" i="4"/>
  <c r="R10" i="4"/>
  <c r="J10" i="4"/>
  <c r="T10" i="4"/>
  <c r="N10" i="4"/>
  <c r="W10" i="4"/>
  <c r="X10" i="4" s="1"/>
  <c r="H12" i="4"/>
  <c r="I21" i="4"/>
  <c r="L8" i="4"/>
  <c r="N12" i="4"/>
  <c r="O15" i="4"/>
  <c r="V10" i="4"/>
  <c r="D16" i="4"/>
  <c r="L16" i="4" s="1"/>
  <c r="F20" i="4"/>
  <c r="T20" i="4"/>
  <c r="J20" i="4"/>
  <c r="L20" i="4"/>
  <c r="R20" i="4"/>
  <c r="P20" i="4"/>
  <c r="N20" i="4"/>
  <c r="W20" i="4"/>
  <c r="X20" i="4" s="1"/>
  <c r="H13" i="4"/>
  <c r="W13" i="4"/>
  <c r="X13" i="4" s="1"/>
  <c r="T13" i="4"/>
  <c r="F13" i="4"/>
  <c r="T9" i="4"/>
  <c r="L9" i="4"/>
  <c r="W9" i="4"/>
  <c r="X9" i="4" s="1"/>
  <c r="F9" i="4"/>
  <c r="H9" i="4"/>
  <c r="R9" i="4"/>
  <c r="J9" i="4"/>
  <c r="N9" i="4"/>
  <c r="P9" i="4"/>
  <c r="F25" i="4"/>
  <c r="W25" i="4"/>
  <c r="X25" i="4" s="1"/>
  <c r="K12" i="4"/>
  <c r="N13" i="4"/>
  <c r="O12" i="4"/>
  <c r="P12" i="4" s="1"/>
  <c r="V19" i="4"/>
  <c r="V14" i="4"/>
  <c r="V9" i="4"/>
  <c r="V22" i="4"/>
  <c r="U21" i="4"/>
  <c r="Q21" i="4"/>
  <c r="G26" i="4"/>
  <c r="C15" i="4"/>
  <c r="D15" i="4" s="1"/>
  <c r="B21" i="4"/>
  <c r="B26" i="4" s="1"/>
  <c r="O21" i="4" l="1"/>
  <c r="W8" i="4"/>
  <c r="P16" i="4"/>
  <c r="F16" i="4"/>
  <c r="T8" i="4"/>
  <c r="H8" i="4"/>
  <c r="X8" i="4"/>
  <c r="J8" i="4"/>
  <c r="R8" i="4"/>
  <c r="L15" i="4"/>
  <c r="W16" i="4"/>
  <c r="X16" i="4" s="1"/>
  <c r="V16" i="4"/>
  <c r="P15" i="4"/>
  <c r="W12" i="4"/>
  <c r="X14" i="4"/>
  <c r="F15" i="4"/>
  <c r="N16" i="4"/>
  <c r="V8" i="4"/>
  <c r="M26" i="4"/>
  <c r="L12" i="4"/>
  <c r="K21" i="4"/>
  <c r="D21" i="4"/>
  <c r="J21" i="4" s="1"/>
  <c r="W15" i="4"/>
  <c r="X15" i="4" s="1"/>
  <c r="O26" i="4"/>
  <c r="I26" i="4"/>
  <c r="Q26" i="4"/>
  <c r="N8" i="4"/>
  <c r="F8" i="4"/>
  <c r="U26" i="4"/>
  <c r="V15" i="4"/>
  <c r="N15" i="4"/>
  <c r="P8" i="4"/>
  <c r="E26" i="4"/>
  <c r="F21" i="4"/>
  <c r="C21" i="4"/>
  <c r="C26" i="4" s="1"/>
  <c r="N21" i="4" l="1"/>
  <c r="T21" i="4"/>
  <c r="D26" i="4"/>
  <c r="F26" i="4" s="1"/>
  <c r="H21" i="4"/>
  <c r="V21" i="4"/>
  <c r="R21" i="4"/>
  <c r="P21" i="4"/>
  <c r="K26" i="4"/>
  <c r="L21" i="4"/>
  <c r="X12" i="4"/>
  <c r="W21" i="4"/>
  <c r="X21" i="4" s="1"/>
  <c r="V26" i="4" l="1"/>
  <c r="W26" i="4"/>
  <c r="X26" i="4" s="1"/>
  <c r="H15" i="1" l="1"/>
  <c r="H14" i="1" l="1"/>
</calcChain>
</file>

<file path=xl/sharedStrings.xml><?xml version="1.0" encoding="utf-8"?>
<sst xmlns="http://schemas.openxmlformats.org/spreadsheetml/2006/main" count="258" uniqueCount="124">
  <si>
    <t>งบประมาณรายจ่าย</t>
  </si>
  <si>
    <t>งบประมาณหลังปรับโอน</t>
  </si>
  <si>
    <t>ผลการก่อหนี้ผูกพัน</t>
  </si>
  <si>
    <t>ผลการเบิกจ่าย</t>
  </si>
  <si>
    <t>คงเหลือ</t>
  </si>
  <si>
    <t>งบฯ หลังปรับโอนในระบบ</t>
  </si>
  <si>
    <t>งบประมาณหลังปรับโอนสุทธิ</t>
  </si>
  <si>
    <t>วงเงิน</t>
  </si>
  <si>
    <t>ร้อยละ</t>
  </si>
  <si>
    <t>1. เงินเดือนและค่าจ้างประจำ</t>
  </si>
  <si>
    <t>2. ค่าจ้างชั่วคราว</t>
  </si>
  <si>
    <t>3. ค่าตอบแทน ใช้สอยและวัสดุ</t>
  </si>
  <si>
    <t>4. ค่าสาธารณูปโภค</t>
  </si>
  <si>
    <r>
      <t xml:space="preserve">5. ค่าครุภัณฑ์ ที่ดินและสิ่งก่อสร้าง </t>
    </r>
    <r>
      <rPr>
        <u/>
        <sz val="14"/>
        <color theme="1"/>
        <rFont val="TH SarabunPSK"/>
        <family val="2"/>
      </rPr>
      <t/>
    </r>
  </si>
  <si>
    <t>6. เงินอุดหนุน</t>
  </si>
  <si>
    <t>7. รายจ่ายอื่น</t>
  </si>
  <si>
    <t>ยอดรวม</t>
  </si>
  <si>
    <t>การใช้จ่ายงบประมาณในภาพรวม</t>
  </si>
  <si>
    <t xml:space="preserve">        สำนักงานเขตดุสิต</t>
  </si>
  <si>
    <t>คลัง</t>
  </si>
  <si>
    <t>รายได้</t>
  </si>
  <si>
    <t>ปลูก</t>
  </si>
  <si>
    <t>ตอบแทน</t>
  </si>
  <si>
    <t>ใช้สอย</t>
  </si>
  <si>
    <t>วัสดุจัดซื้อ</t>
  </si>
  <si>
    <t>วัสดุซื้อเอง</t>
  </si>
  <si>
    <t>รายงานผลการดำเนินงานงบประมาณกรุงเทพมหานคร</t>
  </si>
  <si>
    <t>งบลงทุน ค่าครุภัณฑ์ ที่ดินและสิ่งก่อสร้าง</t>
  </si>
  <si>
    <t>ประจำปีงบประมาณ 2565</t>
  </si>
  <si>
    <t>เริ่มสัญญา 1 ก.พ. 65</t>
  </si>
  <si>
    <t>สิ้นสุดสัญญา 1 พ.ค. 65</t>
  </si>
  <si>
    <t>วงเงินตามสัญญา 897,599.57 บาท</t>
  </si>
  <si>
    <t>ปรับปรุงโรงเรียนสุโขทัย งบประมาณ 930,000 บาท</t>
  </si>
  <si>
    <t>ระยะเวลาดำเนินการ 90 วัน</t>
  </si>
  <si>
    <t xml:space="preserve">ผู้รับจ้าง บริษัท ซันไรส แอทเซ็ท จำกัด </t>
  </si>
  <si>
    <t>รายงานความก้าวหน้า ปัญหาอุปสรรคในการดำเนินการตามตัวชี้วัด</t>
  </si>
  <si>
    <t>ฝ่ายการคลัง สำนักงานเขตดุสิต</t>
  </si>
  <si>
    <t>ผลการเบิกจ่ายงบประมาณ</t>
  </si>
  <si>
    <t>ปัญหา/อุปสรรค ในการดำเนินงาน</t>
  </si>
  <si>
    <t>จำนวนเงิน</t>
  </si>
  <si>
    <t>งบดำเนินงาน</t>
  </si>
  <si>
    <t xml:space="preserve">   ค่าตอบแทน ใช้สอยและวัสดุ</t>
  </si>
  <si>
    <t xml:space="preserve">   ค่าสาธารณูปโภค</t>
  </si>
  <si>
    <t>งบลงทุน</t>
  </si>
  <si>
    <t>งบเงินอุดหนุน</t>
  </si>
  <si>
    <t>งบรายจ่ายอื่น</t>
  </si>
  <si>
    <t>รวมงบประมาณประจำปี</t>
  </si>
  <si>
    <t>งบกลาง</t>
  </si>
  <si>
    <t>รวมทั้งสิ้น</t>
  </si>
  <si>
    <t>ลงชื่อ ......................................................... ผู้รายงาน</t>
  </si>
  <si>
    <t>งบรายจ่าย</t>
  </si>
  <si>
    <t xml:space="preserve">งบประมาณหลังปรับโอน </t>
  </si>
  <si>
    <t>งบประมาณคงเหลือหลังก่อหนี้/</t>
  </si>
  <si>
    <t>/ยกเลิกรายการ/โครงการ</t>
  </si>
  <si>
    <t>เบิกจ่าย/ชดใช้เงินยืม ฯ</t>
  </si>
  <si>
    <t xml:space="preserve">งบประมาณหลังปรับโอนสุทธิ </t>
  </si>
  <si>
    <t xml:space="preserve">   ค่าครุภัณฑ์ (30 รายการ)</t>
  </si>
  <si>
    <t xml:space="preserve">   ค่าที่ดินและสิ่งก่อสร้าง (1 รายการ)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</si>
  <si>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</si>
  <si>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</si>
  <si>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</si>
  <si>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</si>
  <si>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</si>
  <si>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</si>
  <si>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</si>
  <si>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 xml:space="preserve">   79 : เงินสำรองสำหรับภาระผูกพัน ฯ</t>
  </si>
  <si>
    <t xml:space="preserve">   11 : เงินสำรองจ่ายทั่วไป กรณีฉุกเฉินหรือจำเป็น</t>
  </si>
  <si>
    <t xml:space="preserve">   17 : เงินสำรองจ่ายทั่วไป กรณีค่าใช้จ่ายเพื่อการ ฯ</t>
  </si>
  <si>
    <t>ปกครอง</t>
  </si>
  <si>
    <t>ทะเบียน</t>
  </si>
  <si>
    <t>รักษา</t>
  </si>
  <si>
    <t>เทศกิจ</t>
  </si>
  <si>
    <t>โยธา</t>
  </si>
  <si>
    <t>ระบายน้ำ</t>
  </si>
  <si>
    <t>พัฒนา</t>
  </si>
  <si>
    <t>อนามัย</t>
  </si>
  <si>
    <t>ศึกษา</t>
  </si>
  <si>
    <t>รวม</t>
  </si>
  <si>
    <t>งบบุคลากร</t>
  </si>
  <si>
    <t xml:space="preserve">   เงินเดือนและค่าจ้างประจำ</t>
  </si>
  <si>
    <t xml:space="preserve">   ค่าจ้างชั่วคราว</t>
  </si>
  <si>
    <t xml:space="preserve">   ค่าครุภัณฑ์ ที่ดินและสิ่งก่อสร้าง (รวม 31 รายการ)</t>
  </si>
  <si>
    <t xml:space="preserve">ยกเลิกดำเนินการ </t>
  </si>
  <si>
    <t>จำนวนเงินทั้งสิ้น</t>
  </si>
  <si>
    <t>ผลการเบิกจ่ายงบประมาณ (รายเดือน)</t>
  </si>
  <si>
    <t>ณ วันที่ 19 เมษายน 2565</t>
  </si>
  <si>
    <t xml:space="preserve">             3. รายงานความสำเร็จของการเบิกจ่ายงบประมาณ ณ วันที่ 19 เมษายน 2565</t>
  </si>
  <si>
    <t>หักก่อหนี้ 03 งบบุคลากร</t>
  </si>
  <si>
    <t>รวมก่อหนี้ 03 งบดำเนินงาน</t>
  </si>
  <si>
    <r>
      <rPr>
        <u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1. ผลการเบิกจ่ายงบประมาณ จำนวน 5 งบรายจ่าย ไม่รวมงบบุคลากร งบประมาณรายจ่ายเพิ่มเติม งบเงินอุดหนุนจากรัฐบาล และงบประมาณปี 2564 กันไว้เบิกเหลื่อมปีในปี 2565</t>
    </r>
  </si>
  <si>
    <t xml:space="preserve">             2. งบกลาง ไม่รวมรายการเงินช่วยเหลือข้าราชการและลูกจ้าง งบกลางรายการเงินบำเหน็จลูกจ้าง งบกลางเพิ่มเติม และงบประมาณปี 2564 กันไว้เบิกเหลื่อมปีในปี 2565</t>
  </si>
  <si>
    <t>ยอดปรับโอนทั้งสิ้น</t>
  </si>
  <si>
    <t>ณ วันที่ 4 สิงหาคม 2565</t>
  </si>
  <si>
    <t>ค่าตอบแทน ใช้สอยและวัสดุ</t>
  </si>
  <si>
    <t>ค่าตอบแทน</t>
  </si>
  <si>
    <t>ค่าใช้สอย</t>
  </si>
  <si>
    <t>ค่าวัสดุซื้อเอง</t>
  </si>
  <si>
    <t>งาน/รายการ</t>
  </si>
  <si>
    <t>ค่าวัสดุกองทะเบียน</t>
  </si>
  <si>
    <t>ผลการเบิกจ่าย (ลงทุน)</t>
  </si>
  <si>
    <t>เป้าหมาย</t>
  </si>
  <si>
    <t>การเบิกเงินเหลื่อมปี</t>
  </si>
  <si>
    <t>สำนักงานเขตดุสิต</t>
  </si>
  <si>
    <t>ส่วนใหญ่เป็นรายการดังต่อไปนี้</t>
  </si>
  <si>
    <t>2. ค่าจ้างเหมาดูแลทรัพย์สินและรักษาความปลอดภัย</t>
  </si>
  <si>
    <t>1. ค่าจ้างเหมาบริการเป็นรายบุคคล</t>
  </si>
  <si>
    <t>5. ค่าจ้างเหมาดูแลทรัพย์สินและรักษาความปลอดภัยให้แก่โรงเรียนในสังกัดกรุงเทพมหานคร</t>
  </si>
  <si>
    <t>เป็นเงิน 369,000 บาท</t>
  </si>
  <si>
    <r>
      <t xml:space="preserve">   จำนวน 10 อัตรา </t>
    </r>
    <r>
      <rPr>
        <b/>
        <sz val="16"/>
        <color theme="1"/>
        <rFont val="TH SarabunPSK"/>
        <family val="2"/>
      </rPr>
      <t>เป็นเงิน 134,000 บาท</t>
    </r>
  </si>
  <si>
    <r>
      <t xml:space="preserve">   </t>
    </r>
    <r>
      <rPr>
        <b/>
        <sz val="16"/>
        <color theme="1"/>
        <rFont val="TH SarabunPSK"/>
        <family val="2"/>
      </rPr>
      <t>เป็นเงิน 449,800 บาท</t>
    </r>
  </si>
  <si>
    <r>
      <t xml:space="preserve">3. ค่าจ้างทำความสะอาดอาคาร </t>
    </r>
    <r>
      <rPr>
        <b/>
        <sz val="16"/>
        <color theme="1"/>
        <rFont val="TH SarabunPSK"/>
        <family val="2"/>
      </rPr>
      <t>เป็นเงิน 145,320 บาท</t>
    </r>
  </si>
  <si>
    <r>
      <t xml:space="preserve">6. ค่าใช้จ่ายในการบริหารจัดการพิพิธภัณฑ์ท้องถิ่นกรุงเทพมหานคร </t>
    </r>
    <r>
      <rPr>
        <b/>
        <sz val="16"/>
        <color theme="1"/>
        <rFont val="TH SarabunPSK"/>
        <family val="2"/>
      </rPr>
      <t>เป็นเงิน 12,600 บาท</t>
    </r>
  </si>
  <si>
    <r>
      <t xml:space="preserve">4. ค่าจ้างเหมาบริการทำความสะอาดในโรงเรียนสังกัดกรุงเทพมหานคร </t>
    </r>
    <r>
      <rPr>
        <b/>
        <sz val="16"/>
        <color theme="1"/>
        <rFont val="TH SarabunPSK"/>
        <family val="2"/>
      </rPr>
      <t>เป็นเงิน 176,397 บาท</t>
    </r>
  </si>
  <si>
    <t>รวมเป็นเงินทั้งสิ้น 1,287,117 บาท</t>
  </si>
  <si>
    <t>ผลการปฏิบัติงานและการใช้จ่ายงบประมาณรายจ่ายประจำปีงบประมาณ พ.ศ. 2566</t>
  </si>
  <si>
    <t>ณ วันที่ 31 มีนาคม 2566</t>
  </si>
  <si>
    <t xml:space="preserve">   5.1 ค่าครุภัณฑ์ (30 รายการ)</t>
  </si>
  <si>
    <t xml:space="preserve">   5.2 ค่าที่ดิน ฯ (6 รายการ)</t>
  </si>
  <si>
    <t>(รวม 30 + 6 = 36 รายการ ประกอบด้วย)</t>
  </si>
  <si>
    <t>เป้าหมายการเบิกจ่ายในไตรมาสที่ 2 (ณ วันที่ 31 มีนาคม 2566)  =</t>
  </si>
  <si>
    <t xml:space="preserve">ผลการเบิกจ่ายในภาพรวม ณ วันที่ 31 มีนาคม 2566 = </t>
  </si>
  <si>
    <t>ณ วันที่ 31 ธันวาคม 2565</t>
  </si>
  <si>
    <t>เป้าหมายการเบิกจ่ายในไตรมาสที่ 2 (ณ วันที่ 31 ธันวาคม 2565)  =</t>
  </si>
  <si>
    <t xml:space="preserve">ผลการเบิกจ่ายในภาพรวม ณ วันที่ ณ วันที่ 31 ธันวาคม 2565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</si>
</sst>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u/>
      <sz val="14"/>
      <color theme="1"/>
      <name val="TH SarabunPSK"/>
      <family val="2"/>
    </font>
    <font>
      <b/>
      <u/>
      <sz val="16"/>
      <color theme="1"/>
      <name val="TH SarabunPSK"/>
      <family val="2"/>
    </font>
    <font>
      <i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i/>
      <sz val="14"/>
      <color theme="1"/>
      <name val="TH SarabunPSK"/>
      <family val="2"/>
    </font>
    <font>
      <sz val="14"/>
      <color theme="1"/>
      <name val="TH SarabunPSK"/>
      <family val="2"/>
    </font>
    <font>
      <sz val="8"/>
      <name val="Tahoma"/>
      <family val="2"/>
      <charset val="222"/>
      <scheme val="minor"/>
    </font>
    <font>
      <i/>
      <sz val="12"/>
      <color theme="1"/>
      <name val="TH SarabunPSK"/>
      <family val="2"/>
    </font>
    <font>
      <i/>
      <sz val="14"/>
      <name val="TH SarabunPSK"/>
      <family val="2"/>
    </font>
    <font>
      <b/>
      <sz val="14"/>
      <color rgb="FF0070C0"/>
      <name val="TH SarabunPSK"/>
      <family val="2"/>
    </font>
    <font>
      <b/>
      <sz val="12"/>
      <color rgb="FF0070C0"/>
      <name val="TH SarabunPSK"/>
      <family val="2"/>
    </font>
    <font>
      <i/>
      <sz val="12"/>
      <color rgb="FF0070C0"/>
      <name val="TH SarabunPSK"/>
      <family val="2"/>
    </font>
    <font>
      <b/>
      <i/>
      <sz val="16"/>
      <color theme="1"/>
      <name val="TH SarabunPSK"/>
      <family val="2"/>
    </font>
    <font>
      <b/>
      <sz val="16"/>
      <color rgb="FF0070C0"/>
      <name val="TH SarabunPSK"/>
      <family val="2"/>
    </font>
    <font>
      <b/>
      <i/>
      <sz val="16"/>
      <color rgb="FF0070C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43" fontId="3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/>
    <xf numFmtId="43" fontId="2" fillId="0" borderId="4" xfId="1" applyFont="1" applyFill="1" applyBorder="1"/>
    <xf numFmtId="0" fontId="2" fillId="0" borderId="5" xfId="0" applyFont="1" applyBorder="1"/>
    <xf numFmtId="43" fontId="2" fillId="0" borderId="5" xfId="1" applyFont="1" applyFill="1" applyBorder="1"/>
    <xf numFmtId="0" fontId="2" fillId="0" borderId="5" xfId="0" applyFont="1" applyBorder="1" applyAlignment="1">
      <alignment shrinkToFit="1"/>
    </xf>
    <xf numFmtId="0" fontId="6" fillId="0" borderId="0" xfId="0" applyFont="1"/>
    <xf numFmtId="0" fontId="2" fillId="0" borderId="6" xfId="0" applyFont="1" applyBorder="1"/>
    <xf numFmtId="43" fontId="2" fillId="0" borderId="6" xfId="1" applyFont="1" applyFill="1" applyBorder="1"/>
    <xf numFmtId="0" fontId="2" fillId="0" borderId="7" xfId="0" applyFont="1" applyBorder="1" applyAlignment="1">
      <alignment horizontal="center" shrinkToFit="1"/>
    </xf>
    <xf numFmtId="43" fontId="2" fillId="0" borderId="7" xfId="1" applyFont="1" applyFill="1" applyBorder="1" applyAlignment="1">
      <alignment shrinkToFit="1"/>
    </xf>
    <xf numFmtId="43" fontId="2" fillId="0" borderId="8" xfId="1" applyFont="1" applyFill="1" applyBorder="1"/>
    <xf numFmtId="10" fontId="2" fillId="0" borderId="4" xfId="2" applyNumberFormat="1" applyFont="1" applyFill="1" applyBorder="1"/>
    <xf numFmtId="43" fontId="2" fillId="0" borderId="9" xfId="1" applyFont="1" applyFill="1" applyBorder="1"/>
    <xf numFmtId="10" fontId="2" fillId="0" borderId="5" xfId="2" applyNumberFormat="1" applyFont="1" applyFill="1" applyBorder="1"/>
    <xf numFmtId="10" fontId="2" fillId="0" borderId="4" xfId="2" applyNumberFormat="1" applyFont="1" applyFill="1" applyBorder="1" applyAlignment="1">
      <alignment shrinkToFit="1"/>
    </xf>
    <xf numFmtId="10" fontId="2" fillId="0" borderId="5" xfId="2" applyNumberFormat="1" applyFont="1" applyFill="1" applyBorder="1" applyAlignment="1">
      <alignment shrinkToFit="1"/>
    </xf>
    <xf numFmtId="10" fontId="2" fillId="0" borderId="7" xfId="2" applyNumberFormat="1" applyFont="1" applyFill="1" applyBorder="1" applyAlignment="1">
      <alignment shrinkToFit="1"/>
    </xf>
    <xf numFmtId="0" fontId="2" fillId="0" borderId="0" xfId="0" applyFont="1" applyAlignment="1">
      <alignment horizontal="center" shrinkToFit="1"/>
    </xf>
    <xf numFmtId="43" fontId="2" fillId="0" borderId="0" xfId="1" applyFont="1" applyFill="1" applyBorder="1" applyAlignment="1">
      <alignment shrinkToFit="1"/>
    </xf>
    <xf numFmtId="10" fontId="2" fillId="0" borderId="0" xfId="2" applyNumberFormat="1" applyFont="1" applyFill="1" applyBorder="1" applyAlignment="1">
      <alignment shrinkToFit="1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1" xfId="0" applyFont="1" applyBorder="1"/>
    <xf numFmtId="0" fontId="3" fillId="0" borderId="12" xfId="0" applyFont="1" applyBorder="1"/>
    <xf numFmtId="0" fontId="2" fillId="0" borderId="10" xfId="0" applyFont="1" applyBorder="1"/>
    <xf numFmtId="9" fontId="2" fillId="0" borderId="0" xfId="2" applyFont="1" applyFill="1" applyBorder="1" applyAlignment="1">
      <alignment horizontal="center"/>
    </xf>
    <xf numFmtId="10" fontId="2" fillId="0" borderId="0" xfId="0" applyNumberFormat="1" applyFont="1" applyAlignment="1">
      <alignment horizontal="center"/>
    </xf>
    <xf numFmtId="43" fontId="2" fillId="0" borderId="0" xfId="1" applyFont="1" applyFill="1" applyBorder="1"/>
    <xf numFmtId="0" fontId="7" fillId="0" borderId="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/>
    <xf numFmtId="0" fontId="7" fillId="0" borderId="0" xfId="0" applyFont="1" applyAlignment="1">
      <alignment vertical="center"/>
    </xf>
    <xf numFmtId="43" fontId="7" fillId="0" borderId="1" xfId="1" applyFont="1" applyBorder="1" applyAlignment="1">
      <alignment vertical="center"/>
    </xf>
    <xf numFmtId="10" fontId="7" fillId="0" borderId="1" xfId="2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3" fontId="9" fillId="0" borderId="1" xfId="1" applyFont="1" applyBorder="1" applyAlignment="1">
      <alignment vertical="center"/>
    </xf>
    <xf numFmtId="10" fontId="9" fillId="0" borderId="1" xfId="2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3" fontId="9" fillId="0" borderId="1" xfId="1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vertical="center"/>
    </xf>
    <xf numFmtId="10" fontId="7" fillId="2" borderId="1" xfId="2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3" fontId="3" fillId="0" borderId="0" xfId="1" applyFont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3" fillId="3" borderId="1" xfId="1" applyFont="1" applyFill="1" applyBorder="1" applyAlignment="1">
      <alignment horizontal="center" vertical="center"/>
    </xf>
    <xf numFmtId="43" fontId="9" fillId="0" borderId="9" xfId="1" applyFont="1" applyBorder="1" applyAlignment="1">
      <alignment vertical="center"/>
    </xf>
    <xf numFmtId="43" fontId="10" fillId="0" borderId="0" xfId="1" applyFont="1"/>
    <xf numFmtId="43" fontId="12" fillId="0" borderId="1" xfId="1" applyFont="1" applyBorder="1" applyAlignment="1">
      <alignment vertical="center"/>
    </xf>
    <xf numFmtId="10" fontId="12" fillId="0" borderId="1" xfId="2" applyNumberFormat="1" applyFont="1" applyBorder="1" applyAlignment="1">
      <alignment vertical="center"/>
    </xf>
    <xf numFmtId="43" fontId="8" fillId="2" borderId="1" xfId="1" applyFont="1" applyFill="1" applyBorder="1" applyAlignment="1">
      <alignment vertical="center"/>
    </xf>
    <xf numFmtId="10" fontId="8" fillId="2" borderId="1" xfId="2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43" fontId="2" fillId="0" borderId="0" xfId="0" applyNumberFormat="1" applyFont="1" applyAlignment="1">
      <alignment horizontal="center"/>
    </xf>
    <xf numFmtId="10" fontId="10" fillId="0" borderId="0" xfId="0" applyNumberFormat="1" applyFont="1"/>
    <xf numFmtId="10" fontId="10" fillId="0" borderId="0" xfId="2" applyNumberFormat="1" applyFont="1"/>
    <xf numFmtId="43" fontId="13" fillId="4" borderId="1" xfId="1" applyFont="1" applyFill="1" applyBorder="1" applyAlignment="1">
      <alignment vertical="center"/>
    </xf>
    <xf numFmtId="10" fontId="9" fillId="4" borderId="1" xfId="2" applyNumberFormat="1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43" fontId="14" fillId="0" borderId="1" xfId="1" applyFont="1" applyBorder="1" applyAlignment="1">
      <alignment vertical="center"/>
    </xf>
    <xf numFmtId="10" fontId="14" fillId="0" borderId="1" xfId="2" applyNumberFormat="1" applyFont="1" applyBorder="1" applyAlignment="1">
      <alignment vertical="center"/>
    </xf>
    <xf numFmtId="43" fontId="15" fillId="0" borderId="1" xfId="1" applyFont="1" applyBorder="1" applyAlignment="1">
      <alignment vertical="center"/>
    </xf>
    <xf numFmtId="10" fontId="15" fillId="0" borderId="1" xfId="1" applyNumberFormat="1" applyFont="1" applyBorder="1" applyAlignment="1">
      <alignment vertical="center"/>
    </xf>
    <xf numFmtId="10" fontId="15" fillId="0" borderId="1" xfId="2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0" fontId="16" fillId="0" borderId="1" xfId="2" applyNumberFormat="1" applyFont="1" applyBorder="1" applyAlignment="1">
      <alignment vertical="center"/>
    </xf>
    <xf numFmtId="43" fontId="14" fillId="0" borderId="1" xfId="1" applyFont="1" applyBorder="1" applyAlignment="1">
      <alignment horizontal="right" vertical="center"/>
    </xf>
    <xf numFmtId="43" fontId="3" fillId="4" borderId="1" xfId="1" applyFont="1" applyFill="1" applyBorder="1" applyAlignment="1">
      <alignment horizontal="center" vertical="center"/>
    </xf>
    <xf numFmtId="43" fontId="9" fillId="4" borderId="1" xfId="1" applyFont="1" applyFill="1" applyBorder="1" applyAlignment="1">
      <alignment vertical="center"/>
    </xf>
    <xf numFmtId="43" fontId="2" fillId="0" borderId="0" xfId="1" applyFont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3" fillId="5" borderId="1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43" fontId="3" fillId="6" borderId="1" xfId="1" applyFont="1" applyFill="1" applyBorder="1" applyAlignment="1">
      <alignment horizontal="center" vertical="center"/>
    </xf>
    <xf numFmtId="43" fontId="2" fillId="7" borderId="1" xfId="1" applyFont="1" applyFill="1" applyBorder="1" applyAlignment="1">
      <alignment horizontal="center" vertical="center"/>
    </xf>
    <xf numFmtId="43" fontId="2" fillId="8" borderId="1" xfId="1" applyFont="1" applyFill="1" applyBorder="1" applyAlignment="1">
      <alignment horizontal="center" vertical="center"/>
    </xf>
    <xf numFmtId="43" fontId="2" fillId="9" borderId="1" xfId="1" applyFont="1" applyFill="1" applyBorder="1" applyAlignment="1">
      <alignment horizontal="center" vertical="center"/>
    </xf>
    <xf numFmtId="43" fontId="2" fillId="10" borderId="1" xfId="1" applyFont="1" applyFill="1" applyBorder="1" applyAlignment="1">
      <alignment horizontal="center" vertical="center"/>
    </xf>
    <xf numFmtId="43" fontId="2" fillId="11" borderId="1" xfId="1" applyFont="1" applyFill="1" applyBorder="1" applyAlignment="1">
      <alignment horizontal="center" vertical="center"/>
    </xf>
    <xf numFmtId="10" fontId="2" fillId="0" borderId="1" xfId="2" applyNumberFormat="1" applyFont="1" applyFill="1" applyBorder="1" applyAlignment="1">
      <alignment horizontal="center"/>
    </xf>
    <xf numFmtId="10" fontId="2" fillId="0" borderId="1" xfId="2" applyNumberFormat="1" applyFont="1" applyFill="1" applyBorder="1" applyAlignment="1">
      <alignment horizontal="center" shrinkToFit="1"/>
    </xf>
    <xf numFmtId="0" fontId="3" fillId="0" borderId="0" xfId="0" applyFont="1" applyAlignment="1">
      <alignment horizontal="center"/>
    </xf>
    <xf numFmtId="10" fontId="17" fillId="0" borderId="9" xfId="2" applyNumberFormat="1" applyFont="1" applyFill="1" applyBorder="1" applyAlignment="1">
      <alignment horizontal="center"/>
    </xf>
    <xf numFmtId="10" fontId="17" fillId="0" borderId="1" xfId="2" applyNumberFormat="1" applyFont="1" applyFill="1" applyBorder="1" applyAlignment="1">
      <alignment horizontal="center" shrinkToFi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2" fillId="0" borderId="0" xfId="1" applyFont="1" applyAlignment="1">
      <alignment horizontal="center" vertical="center"/>
    </xf>
    <xf numFmtId="43" fontId="3" fillId="0" borderId="11" xfId="1" applyFont="1" applyBorder="1" applyAlignment="1">
      <alignment horizontal="right" vertical="center"/>
    </xf>
    <xf numFmtId="43" fontId="3" fillId="0" borderId="0" xfId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0" fontId="7" fillId="0" borderId="8" xfId="2" applyNumberFormat="1" applyFont="1" applyBorder="1" applyAlignment="1">
      <alignment horizontal="center" vertical="center"/>
    </xf>
    <xf numFmtId="10" fontId="7" fillId="0" borderId="19" xfId="2" applyNumberFormat="1" applyFont="1" applyBorder="1" applyAlignment="1">
      <alignment horizontal="center" vertical="center"/>
    </xf>
    <xf numFmtId="10" fontId="7" fillId="0" borderId="9" xfId="2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7" fillId="0" borderId="19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10" fontId="7" fillId="0" borderId="8" xfId="0" applyNumberFormat="1" applyFont="1" applyBorder="1" applyAlignment="1">
      <alignment horizontal="center" vertical="center"/>
    </xf>
    <xf numFmtId="10" fontId="7" fillId="0" borderId="19" xfId="0" applyNumberFormat="1" applyFont="1" applyBorder="1" applyAlignment="1">
      <alignment horizontal="center" vertical="center"/>
    </xf>
    <xf numFmtId="10" fontId="7" fillId="0" borderId="9" xfId="0" applyNumberFormat="1" applyFont="1" applyBorder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5" fillId="0" borderId="0" xfId="0" applyFont="1" applyAlignment="1"/>
    <xf numFmtId="43" fontId="2" fillId="0" borderId="0" xfId="0" applyNumberFormat="1" applyFont="1" applyAlignment="1"/>
    <xf numFmtId="4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0" fontId="18" fillId="0" borderId="5" xfId="2" applyNumberFormat="1" applyFont="1" applyFill="1" applyBorder="1"/>
    <xf numFmtId="43" fontId="19" fillId="0" borderId="5" xfId="1" applyFont="1" applyFill="1" applyBorder="1"/>
    <xf numFmtId="10" fontId="18" fillId="0" borderId="5" xfId="2" applyNumberFormat="1" applyFont="1" applyFill="1" applyBorder="1" applyAlignment="1">
      <alignment shrinkToFit="1"/>
    </xf>
    <xf numFmtId="0" fontId="19" fillId="0" borderId="5" xfId="0" applyFont="1" applyBorder="1"/>
    <xf numFmtId="43" fontId="19" fillId="0" borderId="5" xfId="1" applyFont="1" applyFill="1" applyBorder="1" applyAlignment="1">
      <alignment shrinkToFit="1"/>
    </xf>
    <xf numFmtId="10" fontId="2" fillId="0" borderId="0" xfId="0" applyNumberFormat="1" applyFont="1" applyAlignment="1"/>
  </cellXfs>
  <cellStyles count="3">
    <cellStyle name="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colors>
    <mruColors>
      <color rgb="FF9999FF"/>
      <color rgb="FFFF9999"/>
      <color rgb="FF669900"/>
      <color rgb="FF33CCFF"/>
      <color rgb="FFCCFF99"/>
      <color rgb="FF66CCFF"/>
      <color rgb="FFCC99FF"/>
      <color rgb="FF6699FF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800" b="1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ผลการเบิกจ่ายงบประมาณ                   </a:t>
            </a:r>
            <a:r>
              <a:rPr lang="en-US" sz="1800" b="1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           </a:t>
            </a:r>
            <a:r>
              <a:rPr lang="th-TH" sz="1800" b="1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ณ วันที่ </a:t>
            </a:r>
            <a:r>
              <a:rPr lang="en-US" sz="1800" b="1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31 </a:t>
            </a:r>
            <a:r>
              <a:rPr lang="th-TH" sz="1800" b="1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ธันวาคม 2565</a:t>
            </a:r>
          </a:p>
        </c:rich>
      </c:tx>
      <c:layout>
        <c:manualLayout>
          <c:xMode val="edge"/>
          <c:yMode val="edge"/>
          <c:x val="0.30958403401898438"/>
          <c:y val="4.2108580359023817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501179808686582"/>
          <c:y val="0.30816818582361583"/>
          <c:w val="0.78997640382626833"/>
          <c:h val="0.47294653513866769"/>
        </c:manualLayout>
      </c:layout>
      <c:pie3DChart>
        <c:varyColors val="1"/>
        <c:ser>
          <c:idx val="1"/>
          <c:order val="0"/>
          <c:explosion val="15"/>
          <c:dPt>
            <c:idx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8-3F42-4C52-AA86-712172F8C23A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9-3F42-4C52-AA86-712172F8C23A}"/>
              </c:ext>
            </c:extLst>
          </c:dPt>
          <c:dLbls>
            <c:dLbl>
              <c:idx val="0"/>
              <c:layout>
                <c:manualLayout>
                  <c:x val="0.10196971553090627"/>
                  <c:y val="1.41893643627054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42-4C52-AA86-712172F8C23A}"/>
                </c:ext>
              </c:extLst>
            </c:dLbl>
            <c:dLbl>
              <c:idx val="1"/>
              <c:layout>
                <c:manualLayout>
                  <c:x val="-3.7576568681243684E-2"/>
                  <c:y val="-2.328641899419497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42-4C52-AA86-712172F8C2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'ผลการใช้จ่าย ไตรมาส 1'!$J$8:$K$8</c:f>
              <c:strCache>
                <c:ptCount val="2"/>
                <c:pt idx="0">
                  <c:v>ผลการเบิกจ่าย</c:v>
                </c:pt>
                <c:pt idx="1">
                  <c:v>คงเหลือ</c:v>
                </c:pt>
              </c:strCache>
            </c:strRef>
          </c:cat>
          <c:val>
            <c:numRef>
              <c:f>'ผลการใช้จ่าย ไตรมาส 1'!$J$9:$K$9</c:f>
              <c:numCache>
                <c:formatCode>0.00%</c:formatCode>
                <c:ptCount val="2"/>
                <c:pt idx="0">
                  <c:v>0.14972860810538538</c:v>
                </c:pt>
                <c:pt idx="1">
                  <c:v>0.85027139189461465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F42-4C52-AA86-712172F8C23A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F42-4C52-AA86-712172F8C2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F42-4C52-AA86-712172F8C2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'ผลการใช้จ่าย ไตรมาส 1'!$J$8:$K$8</c:f>
              <c:strCache>
                <c:ptCount val="2"/>
                <c:pt idx="0">
                  <c:v>ผลการเบิกจ่าย</c:v>
                </c:pt>
                <c:pt idx="1">
                  <c:v>คงเหลือ</c:v>
                </c:pt>
              </c:strCache>
            </c:strRef>
          </c:cat>
          <c:val>
            <c:numRef>
              <c:f>'ผลการใช้จ่าย ไตรมาส 1'!$J$9:$K$9</c:f>
              <c:numCache>
                <c:formatCode>0.00%</c:formatCode>
                <c:ptCount val="2"/>
                <c:pt idx="0">
                  <c:v>0.14972860810538538</c:v>
                </c:pt>
                <c:pt idx="1">
                  <c:v>0.85027139189461465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42-4C52-AA86-712172F8C23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wrap="square" anchor="ctr" anchorCtr="0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800" b="1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ผลการเบิกจ่ายภาพรวมเปรียบเทียบกับเป้าหมายไตรมาส</a:t>
            </a:r>
            <a:r>
              <a:rPr lang="th-TH" sz="1800" b="1" baseline="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1</a:t>
            </a:r>
            <a:endParaRPr lang="th-TH" sz="18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layout>
        <c:manualLayout>
          <c:xMode val="edge"/>
          <c:yMode val="edge"/>
          <c:x val="0.15463009214542578"/>
          <c:y val="1.9479052502355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7682748957300535"/>
          <c:y val="0.32720989316411558"/>
          <c:w val="0.56273882392787011"/>
          <c:h val="0.560861935401300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392-41F2-B2F8-7A79333A935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392-41F2-B2F8-7A79333A9353}"/>
              </c:ext>
            </c:extLst>
          </c:dPt>
          <c:dLbls>
            <c:dLbl>
              <c:idx val="1"/>
              <c:layout>
                <c:manualLayout>
                  <c:x val="-7.949325067323753E-17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19050" rIns="38100" bIns="19050" anchor="t" anchorCtr="0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ysClr val="windowText" lastClr="00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2266276900553647"/>
                      <c:h val="8.41707159044131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392-41F2-B2F8-7A79333A93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19050" rIns="38100" bIns="19050" anchor="t" anchorCtr="0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'ผลการใช้จ่าย ไตรมาส 1'!$J$15:$K$15</c:f>
              <c:strCache>
                <c:ptCount val="2"/>
                <c:pt idx="0">
                  <c:v>ผลการเบิกจ่าย</c:v>
                </c:pt>
                <c:pt idx="1">
                  <c:v>เป้าหมาย</c:v>
                </c:pt>
              </c:strCache>
            </c:strRef>
          </c:cat>
          <c:val>
            <c:numRef>
              <c:f>'ผลการใช้จ่าย ไตรมาส 1'!$J$16:$K$16</c:f>
              <c:numCache>
                <c:formatCode>0.00%</c:formatCode>
                <c:ptCount val="2"/>
                <c:pt idx="0">
                  <c:v>0.14972860810538538</c:v>
                </c:pt>
                <c:pt idx="1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2-41F2-B2F8-7A79333A93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5"/>
        <c:overlap val="-100"/>
        <c:axId val="800892080"/>
        <c:axId val="800891664"/>
      </c:barChart>
      <c:catAx>
        <c:axId val="80089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800891664"/>
        <c:crosses val="autoZero"/>
        <c:auto val="1"/>
        <c:lblAlgn val="ctr"/>
        <c:lblOffset val="100"/>
        <c:noMultiLvlLbl val="0"/>
      </c:catAx>
      <c:valAx>
        <c:axId val="8008916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80089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800" b="1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ผลการเบิกจ่ายงบประมาณ                   </a:t>
            </a:r>
            <a:r>
              <a:rPr lang="en-US" sz="1800" b="1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           </a:t>
            </a:r>
            <a:r>
              <a:rPr lang="th-TH" sz="1800" b="1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ณ วันที่ </a:t>
            </a:r>
            <a:r>
              <a:rPr lang="en-US" sz="1800" b="1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31 </a:t>
            </a:r>
            <a:r>
              <a:rPr lang="th-TH" sz="1800" b="1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มีนาคม</a:t>
            </a:r>
            <a:r>
              <a:rPr lang="th-TH" sz="1800" b="1" baseline="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2566</a:t>
            </a:r>
            <a:endParaRPr lang="th-TH" sz="18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layout>
        <c:manualLayout>
          <c:xMode val="edge"/>
          <c:yMode val="edge"/>
          <c:x val="0.30958403401898438"/>
          <c:y val="4.2108580359023817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501179808686582"/>
          <c:y val="0.30816818582361583"/>
          <c:w val="0.78997640382626833"/>
          <c:h val="0.47294653513866769"/>
        </c:manualLayout>
      </c:layout>
      <c:pie3DChart>
        <c:varyColors val="1"/>
        <c:ser>
          <c:idx val="1"/>
          <c:order val="0"/>
          <c:explosion val="15"/>
          <c:dPt>
            <c:idx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1-B305-4B71-80EE-32F156702FB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B305-4B71-80EE-32F156702FB6}"/>
              </c:ext>
            </c:extLst>
          </c:dPt>
          <c:dLbls>
            <c:dLbl>
              <c:idx val="0"/>
              <c:layout>
                <c:manualLayout>
                  <c:x val="4.303794970223896E-2"/>
                  <c:y val="-4.31108082144389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05-4B71-80EE-32F156702FB6}"/>
                </c:ext>
              </c:extLst>
            </c:dLbl>
            <c:dLbl>
              <c:idx val="1"/>
              <c:layout>
                <c:manualLayout>
                  <c:x val="-3.7576568681243684E-2"/>
                  <c:y val="-2.328641899419497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05-4B71-80EE-32F156702F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'ผลการใช้จ่าย ไตรมาส 2'!$J$8:$K$8</c:f>
              <c:strCache>
                <c:ptCount val="2"/>
                <c:pt idx="0">
                  <c:v>ผลการเบิกจ่าย</c:v>
                </c:pt>
                <c:pt idx="1">
                  <c:v>คงเหลือ</c:v>
                </c:pt>
              </c:strCache>
            </c:strRef>
          </c:cat>
          <c:val>
            <c:numRef>
              <c:f>'ผลการใช้จ่าย ไตรมาส 2'!$J$9:$K$9</c:f>
              <c:numCache>
                <c:formatCode>0.00%</c:formatCode>
                <c:ptCount val="2"/>
                <c:pt idx="0">
                  <c:v>0.33184707896456334</c:v>
                </c:pt>
                <c:pt idx="1">
                  <c:v>0.66815292103543666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05-4B71-80EE-32F156702FB6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B305-4B71-80EE-32F156702FB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B305-4B71-80EE-32F156702F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'ผลการใช้จ่าย ไตรมาส 2'!$J$8:$K$8</c:f>
              <c:strCache>
                <c:ptCount val="2"/>
                <c:pt idx="0">
                  <c:v>ผลการเบิกจ่าย</c:v>
                </c:pt>
                <c:pt idx="1">
                  <c:v>คงเหลือ</c:v>
                </c:pt>
              </c:strCache>
            </c:strRef>
          </c:cat>
          <c:val>
            <c:numRef>
              <c:f>'ผลการใช้จ่าย ไตรมาส 2'!$J$9:$K$9</c:f>
              <c:numCache>
                <c:formatCode>0.00%</c:formatCode>
                <c:ptCount val="2"/>
                <c:pt idx="0">
                  <c:v>0.33184707896456334</c:v>
                </c:pt>
                <c:pt idx="1">
                  <c:v>0.66815292103543666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305-4B71-80EE-32F156702FB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wrap="square" anchor="ctr" anchorCtr="0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800" b="1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ผลการเบิกจ่ายภาพรวมเปรียบเทียบกับเป้าหมายไตรมาส</a:t>
            </a:r>
            <a:r>
              <a:rPr lang="th-TH" sz="1800" b="1" baseline="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en-US" sz="1800" b="1" baseline="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2</a:t>
            </a:r>
            <a:endParaRPr lang="th-TH" sz="18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layout>
        <c:manualLayout>
          <c:xMode val="edge"/>
          <c:yMode val="edge"/>
          <c:x val="0.15463009214542578"/>
          <c:y val="1.9479052502355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7682748957300535"/>
          <c:y val="0.32720989316411558"/>
          <c:w val="0.56273882392787011"/>
          <c:h val="0.560861935401300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E6B-4285-B34E-FAD70855C83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E6B-4285-B34E-FAD70855C83E}"/>
              </c:ext>
            </c:extLst>
          </c:dPt>
          <c:dLbls>
            <c:dLbl>
              <c:idx val="1"/>
              <c:layout>
                <c:manualLayout>
                  <c:x val="-7.949325067323753E-17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19050" rIns="38100" bIns="19050" anchor="t" anchorCtr="0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ysClr val="windowText" lastClr="00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2266276900553647"/>
                      <c:h val="8.41707159044131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E6B-4285-B34E-FAD70855C8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19050" rIns="38100" bIns="19050" anchor="t" anchorCtr="0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'ผลการใช้จ่าย ไตรมาส 2'!$J$15:$K$15</c:f>
              <c:strCache>
                <c:ptCount val="2"/>
                <c:pt idx="0">
                  <c:v>ผลการเบิกจ่าย</c:v>
                </c:pt>
                <c:pt idx="1">
                  <c:v>เป้าหมาย</c:v>
                </c:pt>
              </c:strCache>
            </c:strRef>
          </c:cat>
          <c:val>
            <c:numRef>
              <c:f>'ผลการใช้จ่าย ไตรมาส 2'!$J$16:$K$16</c:f>
              <c:numCache>
                <c:formatCode>0.00%</c:formatCode>
                <c:ptCount val="2"/>
                <c:pt idx="0">
                  <c:v>0.33184707896456334</c:v>
                </c:pt>
                <c:pt idx="1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6B-4285-B34E-FAD70855C8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5"/>
        <c:overlap val="-100"/>
        <c:axId val="800892080"/>
        <c:axId val="800891664"/>
      </c:barChart>
      <c:catAx>
        <c:axId val="80089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800891664"/>
        <c:crosses val="autoZero"/>
        <c:auto val="1"/>
        <c:lblAlgn val="ctr"/>
        <c:lblOffset val="100"/>
        <c:noMultiLvlLbl val="0"/>
      </c:catAx>
      <c:valAx>
        <c:axId val="8008916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80089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261936</xdr:colOff>
      <xdr:row>21</xdr:row>
      <xdr:rowOff>11904</xdr:rowOff>
    </xdr:from>
    <xdr:to>
      <xdr:col>4</xdr:col>
      <xdr:colOff>214313</xdr:colOff>
      <xdr:row>32</xdr:row>
      <xdr:rowOff>11905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8C9B3D85-37DC-9706-EC18-F6A50D71A0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642941</xdr:colOff>
      <xdr:row>20</xdr:row>
      <xdr:rowOff>250031</xdr:rowOff>
    </xdr:from>
    <xdr:to>
      <xdr:col>6</xdr:col>
      <xdr:colOff>1345406</xdr:colOff>
      <xdr:row>32</xdr:row>
      <xdr:rowOff>23812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5973B84C-46D6-3C9A-35D6-1F0773C585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-1</xdr:colOff>
      <xdr:row>16</xdr:row>
      <xdr:rowOff>190501</xdr:rowOff>
    </xdr:from>
    <xdr:to>
      <xdr:col>7</xdr:col>
      <xdr:colOff>0</xdr:colOff>
      <xdr:row>32</xdr:row>
      <xdr:rowOff>154782</xdr:rowOff>
    </xdr:to>
    <xdr:sp macro="" textlink="">
      <xdr:nvSpPr>
        <xdr:cNvPr id="9" name="สี่เหลี่ยมผืนผ้า 8">
          <a:extLst>
            <a:ext uri="{FF2B5EF4-FFF2-40B4-BE49-F238E27FC236}">
              <a16:creationId xmlns:a16="http://schemas.microsoft.com/office/drawing/2014/main" id="{960A00BE-350E-479F-8E7D-867C9CAB2302}"/>
            </a:ext>
          </a:extLst>
        </xdr:cNvPr>
        <xdr:cNvSpPr/>
      </xdr:nvSpPr>
      <xdr:spPr>
        <a:xfrm>
          <a:off x="2405062" y="4845845"/>
          <a:ext cx="9001126" cy="4214812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261936</xdr:colOff>
      <xdr:row>21</xdr:row>
      <xdr:rowOff>11904</xdr:rowOff>
    </xdr:from>
    <xdr:to>
      <xdr:col>4</xdr:col>
      <xdr:colOff>214313</xdr:colOff>
      <xdr:row>32</xdr:row>
      <xdr:rowOff>11905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FD002ACC-AB8C-4BB6-A766-60F3D5FC59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642941</xdr:colOff>
      <xdr:row>20</xdr:row>
      <xdr:rowOff>250031</xdr:rowOff>
    </xdr:from>
    <xdr:to>
      <xdr:col>6</xdr:col>
      <xdr:colOff>1345406</xdr:colOff>
      <xdr:row>32</xdr:row>
      <xdr:rowOff>23812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9BCD3B5C-FB81-40A4-AA3D-459B1F9DF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-1</xdr:colOff>
      <xdr:row>16</xdr:row>
      <xdr:rowOff>190501</xdr:rowOff>
    </xdr:from>
    <xdr:to>
      <xdr:col>7</xdr:col>
      <xdr:colOff>0</xdr:colOff>
      <xdr:row>32</xdr:row>
      <xdr:rowOff>154782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id="{6A1865D6-9E44-4FB5-8FA2-6DB1F691F4EF}"/>
            </a:ext>
          </a:extLst>
        </xdr:cNvPr>
        <xdr:cNvSpPr/>
      </xdr:nvSpPr>
      <xdr:spPr>
        <a:xfrm>
          <a:off x="2400299" y="4886326"/>
          <a:ext cx="9001126" cy="4279106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3</xdr:row>
      <xdr:rowOff>85725</xdr:rowOff>
    </xdr:from>
    <xdr:to>
      <xdr:col>7</xdr:col>
      <xdr:colOff>209550</xdr:colOff>
      <xdr:row>6</xdr:row>
      <xdr:rowOff>38100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A61AA9F8-17E9-4E6A-A832-CA35CB508F4A}"/>
            </a:ext>
          </a:extLst>
        </xdr:cNvPr>
        <xdr:cNvSpPr txBox="1"/>
      </xdr:nvSpPr>
      <xdr:spPr>
        <a:xfrm>
          <a:off x="2352675" y="885825"/>
          <a:ext cx="2638425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ค่าครุภัณฑ์ ที่ดินและสิ่งก่อสร้าง 31 รายการ เป็นเงิน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2,730,770 บาท</a:t>
          </a:r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314325</xdr:colOff>
      <xdr:row>7</xdr:row>
      <xdr:rowOff>171450</xdr:rowOff>
    </xdr:from>
    <xdr:to>
      <xdr:col>3</xdr:col>
      <xdr:colOff>647700</xdr:colOff>
      <xdr:row>9</xdr:row>
      <xdr:rowOff>209550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B279F0BD-5615-441B-9EBD-035D787B44C7}"/>
            </a:ext>
          </a:extLst>
        </xdr:cNvPr>
        <xdr:cNvSpPr txBox="1"/>
      </xdr:nvSpPr>
      <xdr:spPr>
        <a:xfrm>
          <a:off x="1000125" y="2038350"/>
          <a:ext cx="1704975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ค่าครุภัณฑ์ 30 รายการ เป็นเงิน 1,800,770 บาท</a:t>
          </a:r>
        </a:p>
      </xdr:txBody>
    </xdr:sp>
    <xdr:clientData/>
  </xdr:twoCellAnchor>
  <xdr:twoCellAnchor>
    <xdr:from>
      <xdr:col>6</xdr:col>
      <xdr:colOff>285751</xdr:colOff>
      <xdr:row>7</xdr:row>
      <xdr:rowOff>161925</xdr:rowOff>
    </xdr:from>
    <xdr:to>
      <xdr:col>8</xdr:col>
      <xdr:colOff>714376</xdr:colOff>
      <xdr:row>9</xdr:row>
      <xdr:rowOff>209550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23105E06-7972-44C3-B3CA-B2594217BAE8}"/>
            </a:ext>
          </a:extLst>
        </xdr:cNvPr>
        <xdr:cNvSpPr txBox="1"/>
      </xdr:nvSpPr>
      <xdr:spPr>
        <a:xfrm>
          <a:off x="4400551" y="2028825"/>
          <a:ext cx="198120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ที่ดินและสิ่งก่อสร้าง 1 รายการ เป็นเงิน 930,000 บาท</a:t>
          </a:r>
        </a:p>
      </xdr:txBody>
    </xdr:sp>
    <xdr:clientData/>
  </xdr:twoCellAnchor>
  <xdr:twoCellAnchor>
    <xdr:from>
      <xdr:col>1</xdr:col>
      <xdr:colOff>133350</xdr:colOff>
      <xdr:row>11</xdr:row>
      <xdr:rowOff>190500</xdr:rowOff>
    </xdr:from>
    <xdr:to>
      <xdr:col>4</xdr:col>
      <xdr:colOff>104775</xdr:colOff>
      <xdr:row>14</xdr:row>
      <xdr:rowOff>76200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8D413CBC-199E-4BEF-AFE4-17ECA8DD18DA}"/>
            </a:ext>
          </a:extLst>
        </xdr:cNvPr>
        <xdr:cNvSpPr txBox="1"/>
      </xdr:nvSpPr>
      <xdr:spPr>
        <a:xfrm>
          <a:off x="819150" y="3124200"/>
          <a:ext cx="202882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เบิกจ่ายแล้ว 30 รายการ       เป็นเงิน 1,798,099 บาท</a:t>
          </a:r>
        </a:p>
      </xdr:txBody>
    </xdr:sp>
    <xdr:clientData/>
  </xdr:twoCellAnchor>
  <xdr:twoCellAnchor>
    <xdr:from>
      <xdr:col>2</xdr:col>
      <xdr:colOff>476250</xdr:colOff>
      <xdr:row>6</xdr:row>
      <xdr:rowOff>219075</xdr:rowOff>
    </xdr:from>
    <xdr:to>
      <xdr:col>7</xdr:col>
      <xdr:colOff>500063</xdr:colOff>
      <xdr:row>6</xdr:row>
      <xdr:rowOff>219075</xdr:rowOff>
    </xdr:to>
    <xdr:cxnSp macro="">
      <xdr:nvCxnSpPr>
        <xdr:cNvPr id="10" name="ตัวเชื่อมต่อตรง 9">
          <a:extLst>
            <a:ext uri="{FF2B5EF4-FFF2-40B4-BE49-F238E27FC236}">
              <a16:creationId xmlns:a16="http://schemas.microsoft.com/office/drawing/2014/main" id="{9CE4DE2A-63BE-4CD8-A5A1-6728BE33975C}"/>
            </a:ext>
          </a:extLst>
        </xdr:cNvPr>
        <xdr:cNvCxnSpPr>
          <a:endCxn id="14" idx="0"/>
        </xdr:cNvCxnSpPr>
      </xdr:nvCxnSpPr>
      <xdr:spPr>
        <a:xfrm>
          <a:off x="1847850" y="1819275"/>
          <a:ext cx="289083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466725</xdr:colOff>
      <xdr:row>6</xdr:row>
      <xdr:rowOff>228600</xdr:rowOff>
    </xdr:from>
    <xdr:to>
      <xdr:col>2</xdr:col>
      <xdr:colOff>514350</xdr:colOff>
      <xdr:row>7</xdr:row>
      <xdr:rowOff>152400</xdr:rowOff>
    </xdr:to>
    <xdr:sp macro="" textlink="">
      <xdr:nvSpPr>
        <xdr:cNvPr id="13" name="ลูกศร: ลง 12">
          <a:extLst>
            <a:ext uri="{FF2B5EF4-FFF2-40B4-BE49-F238E27FC236}">
              <a16:creationId xmlns:a16="http://schemas.microsoft.com/office/drawing/2014/main" id="{BA63DAB8-A714-43C1-9E61-8217B678226C}"/>
            </a:ext>
          </a:extLst>
        </xdr:cNvPr>
        <xdr:cNvSpPr/>
      </xdr:nvSpPr>
      <xdr:spPr>
        <a:xfrm>
          <a:off x="1838325" y="1828800"/>
          <a:ext cx="47625" cy="190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476250</xdr:colOff>
      <xdr:row>6</xdr:row>
      <xdr:rowOff>219075</xdr:rowOff>
    </xdr:from>
    <xdr:to>
      <xdr:col>7</xdr:col>
      <xdr:colOff>523875</xdr:colOff>
      <xdr:row>7</xdr:row>
      <xdr:rowOff>142875</xdr:rowOff>
    </xdr:to>
    <xdr:sp macro="" textlink="">
      <xdr:nvSpPr>
        <xdr:cNvPr id="14" name="ลูกศร: ลง 13">
          <a:extLst>
            <a:ext uri="{FF2B5EF4-FFF2-40B4-BE49-F238E27FC236}">
              <a16:creationId xmlns:a16="http://schemas.microsoft.com/office/drawing/2014/main" id="{F73D072D-783B-4233-92D8-B495902C509F}"/>
            </a:ext>
          </a:extLst>
        </xdr:cNvPr>
        <xdr:cNvSpPr/>
      </xdr:nvSpPr>
      <xdr:spPr>
        <a:xfrm>
          <a:off x="4714875" y="1819275"/>
          <a:ext cx="47625" cy="190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371475</xdr:colOff>
      <xdr:row>6</xdr:row>
      <xdr:rowOff>66674</xdr:rowOff>
    </xdr:from>
    <xdr:to>
      <xdr:col>5</xdr:col>
      <xdr:colOff>428625</xdr:colOff>
      <xdr:row>6</xdr:row>
      <xdr:rowOff>209549</xdr:rowOff>
    </xdr:to>
    <xdr:sp macro="" textlink="">
      <xdr:nvSpPr>
        <xdr:cNvPr id="15" name="ลูกศร: ลง 14">
          <a:extLst>
            <a:ext uri="{FF2B5EF4-FFF2-40B4-BE49-F238E27FC236}">
              <a16:creationId xmlns:a16="http://schemas.microsoft.com/office/drawing/2014/main" id="{21B29FB6-2D0D-4759-9912-E7DC6A6A100F}"/>
            </a:ext>
          </a:extLst>
        </xdr:cNvPr>
        <xdr:cNvSpPr/>
      </xdr:nvSpPr>
      <xdr:spPr>
        <a:xfrm>
          <a:off x="3800475" y="1666874"/>
          <a:ext cx="57150" cy="1428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466725</xdr:colOff>
      <xdr:row>10</xdr:row>
      <xdr:rowOff>19050</xdr:rowOff>
    </xdr:from>
    <xdr:to>
      <xdr:col>2</xdr:col>
      <xdr:colOff>512444</xdr:colOff>
      <xdr:row>11</xdr:row>
      <xdr:rowOff>161925</xdr:rowOff>
    </xdr:to>
    <xdr:sp macro="" textlink="">
      <xdr:nvSpPr>
        <xdr:cNvPr id="16" name="ลูกศร: ลง 15">
          <a:extLst>
            <a:ext uri="{FF2B5EF4-FFF2-40B4-BE49-F238E27FC236}">
              <a16:creationId xmlns:a16="http://schemas.microsoft.com/office/drawing/2014/main" id="{AE52C20A-EC63-4C41-B9D3-BC98144801CF}"/>
            </a:ext>
          </a:extLst>
        </xdr:cNvPr>
        <xdr:cNvSpPr/>
      </xdr:nvSpPr>
      <xdr:spPr>
        <a:xfrm>
          <a:off x="1838325" y="2686050"/>
          <a:ext cx="45719" cy="4095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504825</xdr:colOff>
      <xdr:row>9</xdr:row>
      <xdr:rowOff>238125</xdr:rowOff>
    </xdr:from>
    <xdr:to>
      <xdr:col>7</xdr:col>
      <xdr:colOff>552450</xdr:colOff>
      <xdr:row>10</xdr:row>
      <xdr:rowOff>257175</xdr:rowOff>
    </xdr:to>
    <xdr:sp macro="" textlink="">
      <xdr:nvSpPr>
        <xdr:cNvPr id="20" name="ลูกศร: ลง 19">
          <a:extLst>
            <a:ext uri="{FF2B5EF4-FFF2-40B4-BE49-F238E27FC236}">
              <a16:creationId xmlns:a16="http://schemas.microsoft.com/office/drawing/2014/main" id="{E74750B3-3129-48B0-A5AD-B21F4C15E658}"/>
            </a:ext>
          </a:extLst>
        </xdr:cNvPr>
        <xdr:cNvSpPr/>
      </xdr:nvSpPr>
      <xdr:spPr>
        <a:xfrm>
          <a:off x="5429250" y="2638425"/>
          <a:ext cx="47625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514350</xdr:colOff>
      <xdr:row>18</xdr:row>
      <xdr:rowOff>19050</xdr:rowOff>
    </xdr:from>
    <xdr:to>
      <xdr:col>8</xdr:col>
      <xdr:colOff>1095375</xdr:colOff>
      <xdr:row>20</xdr:row>
      <xdr:rowOff>66675</xdr:rowOff>
    </xdr:to>
    <xdr:sp macro="" textlink="">
      <xdr:nvSpPr>
        <xdr:cNvPr id="41" name="กล่องข้อความ 40">
          <a:extLst>
            <a:ext uri="{FF2B5EF4-FFF2-40B4-BE49-F238E27FC236}">
              <a16:creationId xmlns:a16="http://schemas.microsoft.com/office/drawing/2014/main" id="{E6B905BD-5298-4CE0-B4E2-300AAC50F389}"/>
            </a:ext>
          </a:extLst>
        </xdr:cNvPr>
        <xdr:cNvSpPr txBox="1"/>
      </xdr:nvSpPr>
      <xdr:spPr>
        <a:xfrm>
          <a:off x="4629150" y="4552950"/>
          <a:ext cx="207645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อยู่ระหว่างดำเนินการของผู้รับจ้าง</a:t>
          </a:r>
          <a:r>
            <a:rPr lang="th-TH" sz="16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endParaRPr lang="th-TH" sz="16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676275</xdr:colOff>
      <xdr:row>17</xdr:row>
      <xdr:rowOff>9524</xdr:rowOff>
    </xdr:from>
    <xdr:to>
      <xdr:col>8</xdr:col>
      <xdr:colOff>47625</xdr:colOff>
      <xdr:row>17</xdr:row>
      <xdr:rowOff>266699</xdr:rowOff>
    </xdr:to>
    <xdr:sp macro="" textlink="">
      <xdr:nvSpPr>
        <xdr:cNvPr id="42" name="ลูกศร: ลง 41">
          <a:extLst>
            <a:ext uri="{FF2B5EF4-FFF2-40B4-BE49-F238E27FC236}">
              <a16:creationId xmlns:a16="http://schemas.microsoft.com/office/drawing/2014/main" id="{524F4445-0B40-4FD6-B1D1-C1678DF45A26}"/>
            </a:ext>
          </a:extLst>
        </xdr:cNvPr>
        <xdr:cNvSpPr/>
      </xdr:nvSpPr>
      <xdr:spPr>
        <a:xfrm>
          <a:off x="5600700" y="4276724"/>
          <a:ext cx="57150" cy="2571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3</xdr:row>
      <xdr:rowOff>95250</xdr:rowOff>
    </xdr:from>
    <xdr:to>
      <xdr:col>7</xdr:col>
      <xdr:colOff>438150</xdr:colOff>
      <xdr:row>6</xdr:row>
      <xdr:rowOff>47625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64CA95FA-0952-4820-95A7-DCE6D61516FE}"/>
            </a:ext>
          </a:extLst>
        </xdr:cNvPr>
        <xdr:cNvSpPr txBox="1"/>
      </xdr:nvSpPr>
      <xdr:spPr>
        <a:xfrm>
          <a:off x="2581275" y="895350"/>
          <a:ext cx="2409825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การเบิกเงินเหลื่อมปี</a:t>
          </a:r>
        </a:p>
      </xdr:txBody>
    </xdr:sp>
    <xdr:clientData/>
  </xdr:twoCellAnchor>
  <xdr:twoCellAnchor>
    <xdr:from>
      <xdr:col>1</xdr:col>
      <xdr:colOff>66675</xdr:colOff>
      <xdr:row>7</xdr:row>
      <xdr:rowOff>171450</xdr:rowOff>
    </xdr:from>
    <xdr:to>
      <xdr:col>4</xdr:col>
      <xdr:colOff>428625</xdr:colOff>
      <xdr:row>9</xdr:row>
      <xdr:rowOff>209550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8B79B0C6-E5D6-4B95-A60B-CD912DA5DF9F}"/>
            </a:ext>
          </a:extLst>
        </xdr:cNvPr>
        <xdr:cNvSpPr txBox="1"/>
      </xdr:nvSpPr>
      <xdr:spPr>
        <a:xfrm>
          <a:off x="752475" y="2038350"/>
          <a:ext cx="2419350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การเบิกเงินเหลื่อมปีงบประมาณ 2564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มาดำเนินการปีงบประมาณ 2565</a:t>
          </a:r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228601</xdr:colOff>
      <xdr:row>7</xdr:row>
      <xdr:rowOff>171450</xdr:rowOff>
    </xdr:from>
    <xdr:to>
      <xdr:col>7</xdr:col>
      <xdr:colOff>2476500</xdr:colOff>
      <xdr:row>9</xdr:row>
      <xdr:rowOff>219075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5A0472C0-50A2-44FE-9CDA-52A7E5FD5575}"/>
            </a:ext>
          </a:extLst>
        </xdr:cNvPr>
        <xdr:cNvSpPr txBox="1"/>
      </xdr:nvSpPr>
      <xdr:spPr>
        <a:xfrm>
          <a:off x="4781551" y="2038350"/>
          <a:ext cx="2247899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การกันเงินเหลื่อมปีงบประมาณ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2565 </a:t>
          </a:r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304800</xdr:colOff>
      <xdr:row>11</xdr:row>
      <xdr:rowOff>104775</xdr:rowOff>
    </xdr:from>
    <xdr:to>
      <xdr:col>5</xdr:col>
      <xdr:colOff>333375</xdr:colOff>
      <xdr:row>13</xdr:row>
      <xdr:rowOff>228600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50FE4E88-7F3F-4A5F-B04D-7E2FA6A618B1}"/>
            </a:ext>
          </a:extLst>
        </xdr:cNvPr>
        <xdr:cNvSpPr txBox="1"/>
      </xdr:nvSpPr>
      <xdr:spPr>
        <a:xfrm>
          <a:off x="2362200" y="3038475"/>
          <a:ext cx="1400175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กรณีแบบก่อหนี้ผูกพัน</a:t>
          </a:r>
        </a:p>
      </xdr:txBody>
    </xdr:sp>
    <xdr:clientData/>
  </xdr:twoCellAnchor>
  <xdr:twoCellAnchor>
    <xdr:from>
      <xdr:col>2</xdr:col>
      <xdr:colOff>604838</xdr:colOff>
      <xdr:row>6</xdr:row>
      <xdr:rowOff>228600</xdr:rowOff>
    </xdr:from>
    <xdr:to>
      <xdr:col>7</xdr:col>
      <xdr:colOff>1366838</xdr:colOff>
      <xdr:row>6</xdr:row>
      <xdr:rowOff>238125</xdr:rowOff>
    </xdr:to>
    <xdr:cxnSp macro="">
      <xdr:nvCxnSpPr>
        <xdr:cNvPr id="6" name="ตัวเชื่อมต่อตรง 5">
          <a:extLst>
            <a:ext uri="{FF2B5EF4-FFF2-40B4-BE49-F238E27FC236}">
              <a16:creationId xmlns:a16="http://schemas.microsoft.com/office/drawing/2014/main" id="{1C0AB1E9-397B-4B65-99D4-CADC11D8BB7A}"/>
            </a:ext>
          </a:extLst>
        </xdr:cNvPr>
        <xdr:cNvCxnSpPr>
          <a:stCxn id="7" idx="0"/>
          <a:endCxn id="8" idx="0"/>
        </xdr:cNvCxnSpPr>
      </xdr:nvCxnSpPr>
      <xdr:spPr>
        <a:xfrm flipV="1">
          <a:off x="1976438" y="1828800"/>
          <a:ext cx="39433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581025</xdr:colOff>
      <xdr:row>6</xdr:row>
      <xdr:rowOff>238125</xdr:rowOff>
    </xdr:from>
    <xdr:to>
      <xdr:col>2</xdr:col>
      <xdr:colOff>628650</xdr:colOff>
      <xdr:row>7</xdr:row>
      <xdr:rowOff>161925</xdr:rowOff>
    </xdr:to>
    <xdr:sp macro="" textlink="">
      <xdr:nvSpPr>
        <xdr:cNvPr id="7" name="ลูกศร: ลง 6">
          <a:extLst>
            <a:ext uri="{FF2B5EF4-FFF2-40B4-BE49-F238E27FC236}">
              <a16:creationId xmlns:a16="http://schemas.microsoft.com/office/drawing/2014/main" id="{9BABE5CB-20A3-4540-93F6-3F76483D105E}"/>
            </a:ext>
          </a:extLst>
        </xdr:cNvPr>
        <xdr:cNvSpPr/>
      </xdr:nvSpPr>
      <xdr:spPr>
        <a:xfrm>
          <a:off x="1952625" y="1838325"/>
          <a:ext cx="47625" cy="190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1343025</xdr:colOff>
      <xdr:row>6</xdr:row>
      <xdr:rowOff>228600</xdr:rowOff>
    </xdr:from>
    <xdr:to>
      <xdr:col>7</xdr:col>
      <xdr:colOff>1390650</xdr:colOff>
      <xdr:row>7</xdr:row>
      <xdr:rowOff>152400</xdr:rowOff>
    </xdr:to>
    <xdr:sp macro="" textlink="">
      <xdr:nvSpPr>
        <xdr:cNvPr id="8" name="ลูกศร: ลง 7">
          <a:extLst>
            <a:ext uri="{FF2B5EF4-FFF2-40B4-BE49-F238E27FC236}">
              <a16:creationId xmlns:a16="http://schemas.microsoft.com/office/drawing/2014/main" id="{41F825E3-5D2F-4BAF-B8FE-582050E6D1B8}"/>
            </a:ext>
          </a:extLst>
        </xdr:cNvPr>
        <xdr:cNvSpPr/>
      </xdr:nvSpPr>
      <xdr:spPr>
        <a:xfrm>
          <a:off x="5895975" y="1828800"/>
          <a:ext cx="47625" cy="190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295275</xdr:colOff>
      <xdr:row>6</xdr:row>
      <xdr:rowOff>66674</xdr:rowOff>
    </xdr:from>
    <xdr:to>
      <xdr:col>5</xdr:col>
      <xdr:colOff>352425</xdr:colOff>
      <xdr:row>6</xdr:row>
      <xdr:rowOff>209549</xdr:rowOff>
    </xdr:to>
    <xdr:sp macro="" textlink="">
      <xdr:nvSpPr>
        <xdr:cNvPr id="9" name="ลูกศร: ลง 8">
          <a:extLst>
            <a:ext uri="{FF2B5EF4-FFF2-40B4-BE49-F238E27FC236}">
              <a16:creationId xmlns:a16="http://schemas.microsoft.com/office/drawing/2014/main" id="{E3F305D9-BBC8-406E-A8D3-3E089F45A63A}"/>
            </a:ext>
          </a:extLst>
        </xdr:cNvPr>
        <xdr:cNvSpPr/>
      </xdr:nvSpPr>
      <xdr:spPr>
        <a:xfrm>
          <a:off x="3724275" y="1666874"/>
          <a:ext cx="57150" cy="1428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561975</xdr:colOff>
      <xdr:row>9</xdr:row>
      <xdr:rowOff>219075</xdr:rowOff>
    </xdr:from>
    <xdr:to>
      <xdr:col>2</xdr:col>
      <xdr:colOff>628650</xdr:colOff>
      <xdr:row>10</xdr:row>
      <xdr:rowOff>133350</xdr:rowOff>
    </xdr:to>
    <xdr:sp macro="" textlink="">
      <xdr:nvSpPr>
        <xdr:cNvPr id="10" name="ลูกศร: ลง 9">
          <a:extLst>
            <a:ext uri="{FF2B5EF4-FFF2-40B4-BE49-F238E27FC236}">
              <a16:creationId xmlns:a16="http://schemas.microsoft.com/office/drawing/2014/main" id="{E64E084C-47DE-4ECC-B51F-9488A9F37F10}"/>
            </a:ext>
          </a:extLst>
        </xdr:cNvPr>
        <xdr:cNvSpPr/>
      </xdr:nvSpPr>
      <xdr:spPr>
        <a:xfrm>
          <a:off x="1933575" y="2619375"/>
          <a:ext cx="66675" cy="1809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1343025</xdr:colOff>
      <xdr:row>9</xdr:row>
      <xdr:rowOff>247650</xdr:rowOff>
    </xdr:from>
    <xdr:to>
      <xdr:col>7</xdr:col>
      <xdr:colOff>1390650</xdr:colOff>
      <xdr:row>11</xdr:row>
      <xdr:rowOff>0</xdr:rowOff>
    </xdr:to>
    <xdr:sp macro="" textlink="">
      <xdr:nvSpPr>
        <xdr:cNvPr id="11" name="ลูกศร: ลง 10">
          <a:extLst>
            <a:ext uri="{FF2B5EF4-FFF2-40B4-BE49-F238E27FC236}">
              <a16:creationId xmlns:a16="http://schemas.microsoft.com/office/drawing/2014/main" id="{6D8BD8E8-C1C8-46EE-8454-81FA6BBF2915}"/>
            </a:ext>
          </a:extLst>
        </xdr:cNvPr>
        <xdr:cNvSpPr/>
      </xdr:nvSpPr>
      <xdr:spPr>
        <a:xfrm>
          <a:off x="6324600" y="2647950"/>
          <a:ext cx="47625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47626</xdr:colOff>
      <xdr:row>11</xdr:row>
      <xdr:rowOff>104775</xdr:rowOff>
    </xdr:from>
    <xdr:to>
      <xdr:col>2</xdr:col>
      <xdr:colOff>219075</xdr:colOff>
      <xdr:row>13</xdr:row>
      <xdr:rowOff>219075</xdr:rowOff>
    </xdr:to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CE6E3D49-5537-4092-A3BC-94232D0EDD82}"/>
            </a:ext>
          </a:extLst>
        </xdr:cNvPr>
        <xdr:cNvSpPr txBox="1"/>
      </xdr:nvSpPr>
      <xdr:spPr>
        <a:xfrm>
          <a:off x="47626" y="3038475"/>
          <a:ext cx="1543049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กรณีแบบไม่ก่อหนี้ผูกพัน</a:t>
          </a:r>
        </a:p>
      </xdr:txBody>
    </xdr:sp>
    <xdr:clientData/>
  </xdr:twoCellAnchor>
  <xdr:twoCellAnchor>
    <xdr:from>
      <xdr:col>1</xdr:col>
      <xdr:colOff>166688</xdr:colOff>
      <xdr:row>10</xdr:row>
      <xdr:rowOff>152400</xdr:rowOff>
    </xdr:from>
    <xdr:to>
      <xdr:col>4</xdr:col>
      <xdr:colOff>357188</xdr:colOff>
      <xdr:row>10</xdr:row>
      <xdr:rowOff>161925</xdr:rowOff>
    </xdr:to>
    <xdr:cxnSp macro="">
      <xdr:nvCxnSpPr>
        <xdr:cNvPr id="15" name="ตัวเชื่อมต่อตรง 14">
          <a:extLst>
            <a:ext uri="{FF2B5EF4-FFF2-40B4-BE49-F238E27FC236}">
              <a16:creationId xmlns:a16="http://schemas.microsoft.com/office/drawing/2014/main" id="{82CACF44-89C7-4091-AEC7-2CF55CEBAF46}"/>
            </a:ext>
          </a:extLst>
        </xdr:cNvPr>
        <xdr:cNvCxnSpPr>
          <a:stCxn id="17" idx="0"/>
          <a:endCxn id="18" idx="0"/>
        </xdr:cNvCxnSpPr>
      </xdr:nvCxnSpPr>
      <xdr:spPr>
        <a:xfrm>
          <a:off x="852488" y="2819400"/>
          <a:ext cx="22479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10</xdr:row>
      <xdr:rowOff>152400</xdr:rowOff>
    </xdr:from>
    <xdr:to>
      <xdr:col>1</xdr:col>
      <xdr:colOff>190500</xdr:colOff>
      <xdr:row>11</xdr:row>
      <xdr:rowOff>76200</xdr:rowOff>
    </xdr:to>
    <xdr:sp macro="" textlink="">
      <xdr:nvSpPr>
        <xdr:cNvPr id="17" name="ลูกศร: ลง 16">
          <a:extLst>
            <a:ext uri="{FF2B5EF4-FFF2-40B4-BE49-F238E27FC236}">
              <a16:creationId xmlns:a16="http://schemas.microsoft.com/office/drawing/2014/main" id="{BC060B22-78AE-47AD-A05A-6C02AF6D0231}"/>
            </a:ext>
          </a:extLst>
        </xdr:cNvPr>
        <xdr:cNvSpPr/>
      </xdr:nvSpPr>
      <xdr:spPr>
        <a:xfrm>
          <a:off x="828675" y="2819400"/>
          <a:ext cx="47625" cy="190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</xdr:col>
      <xdr:colOff>333375</xdr:colOff>
      <xdr:row>10</xdr:row>
      <xdr:rowOff>161925</xdr:rowOff>
    </xdr:from>
    <xdr:to>
      <xdr:col>4</xdr:col>
      <xdr:colOff>381000</xdr:colOff>
      <xdr:row>11</xdr:row>
      <xdr:rowOff>85725</xdr:rowOff>
    </xdr:to>
    <xdr:sp macro="" textlink="">
      <xdr:nvSpPr>
        <xdr:cNvPr id="18" name="ลูกศร: ลง 17">
          <a:extLst>
            <a:ext uri="{FF2B5EF4-FFF2-40B4-BE49-F238E27FC236}">
              <a16:creationId xmlns:a16="http://schemas.microsoft.com/office/drawing/2014/main" id="{6856D6EE-90DB-4DAE-AC75-3168D2048DDE}"/>
            </a:ext>
          </a:extLst>
        </xdr:cNvPr>
        <xdr:cNvSpPr/>
      </xdr:nvSpPr>
      <xdr:spPr>
        <a:xfrm>
          <a:off x="3076575" y="2828925"/>
          <a:ext cx="47625" cy="190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8942</xdr:colOff>
      <xdr:row>15</xdr:row>
      <xdr:rowOff>47625</xdr:rowOff>
    </xdr:from>
    <xdr:to>
      <xdr:col>2</xdr:col>
      <xdr:colOff>609017</xdr:colOff>
      <xdr:row>18</xdr:row>
      <xdr:rowOff>190500</xdr:rowOff>
    </xdr:to>
    <xdr:sp macro="" textlink="">
      <xdr:nvSpPr>
        <xdr:cNvPr id="20" name="กล่องข้อความ 19">
          <a:extLst>
            <a:ext uri="{FF2B5EF4-FFF2-40B4-BE49-F238E27FC236}">
              <a16:creationId xmlns:a16="http://schemas.microsoft.com/office/drawing/2014/main" id="{2B80A96F-E301-4D07-A7B9-B2813E8B758D}"/>
            </a:ext>
          </a:extLst>
        </xdr:cNvPr>
        <xdr:cNvSpPr txBox="1"/>
      </xdr:nvSpPr>
      <xdr:spPr>
        <a:xfrm>
          <a:off x="8942" y="3983977"/>
          <a:ext cx="1980228" cy="9301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เบิกจ่ายเรียบร้อยแล้ว 4 รายการ       เป็นเงิน 2,521,380 บาท</a:t>
          </a:r>
        </a:p>
      </xdr:txBody>
    </xdr:sp>
    <xdr:clientData/>
  </xdr:twoCellAnchor>
  <xdr:twoCellAnchor>
    <xdr:from>
      <xdr:col>1</xdr:col>
      <xdr:colOff>142875</xdr:colOff>
      <xdr:row>13</xdr:row>
      <xdr:rowOff>219075</xdr:rowOff>
    </xdr:from>
    <xdr:to>
      <xdr:col>1</xdr:col>
      <xdr:colOff>190500</xdr:colOff>
      <xdr:row>15</xdr:row>
      <xdr:rowOff>9525</xdr:rowOff>
    </xdr:to>
    <xdr:sp macro="" textlink="">
      <xdr:nvSpPr>
        <xdr:cNvPr id="21" name="ลูกศร: ลง 20">
          <a:extLst>
            <a:ext uri="{FF2B5EF4-FFF2-40B4-BE49-F238E27FC236}">
              <a16:creationId xmlns:a16="http://schemas.microsoft.com/office/drawing/2014/main" id="{9D840BAD-1217-48E0-AAA3-A297636B7424}"/>
            </a:ext>
          </a:extLst>
        </xdr:cNvPr>
        <xdr:cNvSpPr/>
      </xdr:nvSpPr>
      <xdr:spPr>
        <a:xfrm>
          <a:off x="828675" y="3686175"/>
          <a:ext cx="47625" cy="323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</xdr:col>
      <xdr:colOff>314325</xdr:colOff>
      <xdr:row>13</xdr:row>
      <xdr:rowOff>238124</xdr:rowOff>
    </xdr:from>
    <xdr:to>
      <xdr:col>4</xdr:col>
      <xdr:colOff>371475</xdr:colOff>
      <xdr:row>15</xdr:row>
      <xdr:rowOff>38099</xdr:rowOff>
    </xdr:to>
    <xdr:sp macro="" textlink="">
      <xdr:nvSpPr>
        <xdr:cNvPr id="22" name="ลูกศร: ลง 21">
          <a:extLst>
            <a:ext uri="{FF2B5EF4-FFF2-40B4-BE49-F238E27FC236}">
              <a16:creationId xmlns:a16="http://schemas.microsoft.com/office/drawing/2014/main" id="{05C84313-F0DF-4890-8433-1ECD2CE39B15}"/>
            </a:ext>
          </a:extLst>
        </xdr:cNvPr>
        <xdr:cNvSpPr/>
      </xdr:nvSpPr>
      <xdr:spPr>
        <a:xfrm>
          <a:off x="3057525" y="3705224"/>
          <a:ext cx="57150" cy="3333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640897</xdr:colOff>
      <xdr:row>15</xdr:row>
      <xdr:rowOff>47236</xdr:rowOff>
    </xdr:from>
    <xdr:to>
      <xdr:col>5</xdr:col>
      <xdr:colOff>640896</xdr:colOff>
      <xdr:row>18</xdr:row>
      <xdr:rowOff>180586</xdr:rowOff>
    </xdr:to>
    <xdr:sp macro="" textlink="">
      <xdr:nvSpPr>
        <xdr:cNvPr id="23" name="กล่องข้อความ 22">
          <a:extLst>
            <a:ext uri="{FF2B5EF4-FFF2-40B4-BE49-F238E27FC236}">
              <a16:creationId xmlns:a16="http://schemas.microsoft.com/office/drawing/2014/main" id="{82FF1C67-9E93-47C1-880F-70E1DB588671}"/>
            </a:ext>
          </a:extLst>
        </xdr:cNvPr>
        <xdr:cNvSpPr txBox="1"/>
      </xdr:nvSpPr>
      <xdr:spPr>
        <a:xfrm>
          <a:off x="2021050" y="3983588"/>
          <a:ext cx="2070229" cy="920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เบิกจ่ายเรียบร้อยแล้ว 20 รายการ       เป็นเงิน 4,340,405 บาท</a:t>
          </a:r>
        </a:p>
      </xdr:txBody>
    </xdr:sp>
    <xdr:clientData/>
  </xdr:twoCellAnchor>
  <xdr:twoCellAnchor>
    <xdr:from>
      <xdr:col>7</xdr:col>
      <xdr:colOff>476250</xdr:colOff>
      <xdr:row>11</xdr:row>
      <xdr:rowOff>19050</xdr:rowOff>
    </xdr:from>
    <xdr:to>
      <xdr:col>7</xdr:col>
      <xdr:colOff>2247900</xdr:colOff>
      <xdr:row>13</xdr:row>
      <xdr:rowOff>142875</xdr:rowOff>
    </xdr:to>
    <xdr:sp macro="" textlink="">
      <xdr:nvSpPr>
        <xdr:cNvPr id="28" name="กล่องข้อความ 27">
          <a:extLst>
            <a:ext uri="{FF2B5EF4-FFF2-40B4-BE49-F238E27FC236}">
              <a16:creationId xmlns:a16="http://schemas.microsoft.com/office/drawing/2014/main" id="{738C9C3F-AB5B-4DB3-8361-65D2A48ADDA8}"/>
            </a:ext>
          </a:extLst>
        </xdr:cNvPr>
        <xdr:cNvSpPr txBox="1"/>
      </xdr:nvSpPr>
      <xdr:spPr>
        <a:xfrm>
          <a:off x="5457825" y="2952750"/>
          <a:ext cx="1771650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กรณีแบบก่อหนี้ผูกพัน</a:t>
          </a:r>
        </a:p>
      </xdr:txBody>
    </xdr:sp>
    <xdr:clientData/>
  </xdr:twoCellAnchor>
  <xdr:twoCellAnchor>
    <xdr:from>
      <xdr:col>7</xdr:col>
      <xdr:colOff>0</xdr:colOff>
      <xdr:row>14</xdr:row>
      <xdr:rowOff>190500</xdr:rowOff>
    </xdr:from>
    <xdr:to>
      <xdr:col>7</xdr:col>
      <xdr:colOff>3061607</xdr:colOff>
      <xdr:row>26</xdr:row>
      <xdr:rowOff>252704</xdr:rowOff>
    </xdr:to>
    <xdr:sp macro="" textlink="">
      <xdr:nvSpPr>
        <xdr:cNvPr id="31" name="สี่เหลี่ยมผืนผ้า 30">
          <a:extLst>
            <a:ext uri="{FF2B5EF4-FFF2-40B4-BE49-F238E27FC236}">
              <a16:creationId xmlns:a16="http://schemas.microsoft.com/office/drawing/2014/main" id="{DAE4872E-15BE-F449-DF80-58214D00A47E}"/>
            </a:ext>
          </a:extLst>
        </xdr:cNvPr>
        <xdr:cNvSpPr/>
      </xdr:nvSpPr>
      <xdr:spPr>
        <a:xfrm>
          <a:off x="4208495" y="3864429"/>
          <a:ext cx="3061607" cy="4027714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1352550</xdr:colOff>
      <xdr:row>13</xdr:row>
      <xdr:rowOff>152400</xdr:rowOff>
    </xdr:from>
    <xdr:to>
      <xdr:col>7</xdr:col>
      <xdr:colOff>1400175</xdr:colOff>
      <xdr:row>14</xdr:row>
      <xdr:rowOff>171450</xdr:rowOff>
    </xdr:to>
    <xdr:sp macro="" textlink="">
      <xdr:nvSpPr>
        <xdr:cNvPr id="32" name="ลูกศร: ลง 31">
          <a:extLst>
            <a:ext uri="{FF2B5EF4-FFF2-40B4-BE49-F238E27FC236}">
              <a16:creationId xmlns:a16="http://schemas.microsoft.com/office/drawing/2014/main" id="{471E0030-CDA3-4A81-83B6-95610993E061}"/>
            </a:ext>
          </a:extLst>
        </xdr:cNvPr>
        <xdr:cNvSpPr/>
      </xdr:nvSpPr>
      <xdr:spPr>
        <a:xfrm>
          <a:off x="6334125" y="3619500"/>
          <a:ext cx="47625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25B15-1E2D-4D31-90A4-C35100CDB335}">
  <dimension ref="A1:K25"/>
  <sheetViews>
    <sheetView topLeftCell="A28" zoomScale="80" zoomScaleNormal="80" workbookViewId="0">
      <selection activeCell="J24" sqref="J24"/>
    </sheetView>
  </sheetViews>
  <sheetFormatPr defaultRowHeight="21" x14ac:dyDescent="0.35"/>
  <cols>
    <col min="1" max="1" width="31.5" style="1" customWidth="1"/>
    <col min="2" max="2" width="17.5" style="1" customWidth="1"/>
    <col min="3" max="3" width="18.375" style="1" customWidth="1"/>
    <col min="4" max="4" width="21.25" style="1" customWidth="1"/>
    <col min="5" max="5" width="22.375" style="1" customWidth="1"/>
    <col min="6" max="6" width="16" style="1" customWidth="1"/>
    <col min="7" max="7" width="22.625" style="1" customWidth="1"/>
    <col min="8" max="8" width="16.375" style="1" customWidth="1"/>
    <col min="9" max="9" width="9" style="1"/>
    <col min="10" max="10" width="19.625" style="1" bestFit="1" customWidth="1"/>
    <col min="11" max="11" width="11.125" style="1" bestFit="1" customWidth="1"/>
    <col min="12" max="16384" width="9" style="1"/>
  </cols>
  <sheetData>
    <row r="1" spans="1:11" s="2" customFormat="1" x14ac:dyDescent="0.2">
      <c r="A1" s="102" t="s">
        <v>114</v>
      </c>
      <c r="B1" s="102"/>
      <c r="C1" s="102"/>
      <c r="D1" s="102"/>
      <c r="E1" s="102"/>
      <c r="F1" s="102"/>
      <c r="G1" s="102"/>
      <c r="H1" s="102"/>
    </row>
    <row r="2" spans="1:11" s="2" customFormat="1" x14ac:dyDescent="0.2">
      <c r="A2" s="102" t="s">
        <v>18</v>
      </c>
      <c r="B2" s="102"/>
      <c r="C2" s="102"/>
      <c r="D2" s="102"/>
      <c r="E2" s="102"/>
      <c r="F2" s="102"/>
      <c r="G2" s="102"/>
      <c r="H2" s="102"/>
    </row>
    <row r="3" spans="1:11" s="2" customFormat="1" x14ac:dyDescent="0.2">
      <c r="A3" s="102" t="s">
        <v>121</v>
      </c>
      <c r="B3" s="102"/>
      <c r="C3" s="102"/>
      <c r="D3" s="102"/>
      <c r="E3" s="102"/>
      <c r="F3" s="102"/>
      <c r="G3" s="102"/>
      <c r="H3" s="102"/>
    </row>
    <row r="4" spans="1:11" s="5" customFormat="1" x14ac:dyDescent="0.2">
      <c r="A4" s="103" t="s">
        <v>0</v>
      </c>
      <c r="B4" s="103" t="s">
        <v>1</v>
      </c>
      <c r="C4" s="103"/>
      <c r="D4" s="103"/>
      <c r="E4" s="103" t="s">
        <v>3</v>
      </c>
      <c r="F4" s="103"/>
      <c r="G4" s="103" t="s">
        <v>4</v>
      </c>
      <c r="H4" s="103"/>
    </row>
    <row r="5" spans="1:11" s="5" customFormat="1" ht="42" x14ac:dyDescent="0.35">
      <c r="A5" s="103"/>
      <c r="B5" s="6" t="s">
        <v>5</v>
      </c>
      <c r="C5" s="6" t="s">
        <v>91</v>
      </c>
      <c r="D5" s="6" t="s">
        <v>6</v>
      </c>
      <c r="E5" s="7" t="s">
        <v>7</v>
      </c>
      <c r="F5" s="7" t="s">
        <v>8</v>
      </c>
      <c r="G5" s="7" t="s">
        <v>7</v>
      </c>
      <c r="H5" s="7" t="s">
        <v>8</v>
      </c>
      <c r="J5" s="38"/>
      <c r="K5" s="38"/>
    </row>
    <row r="6" spans="1:11" x14ac:dyDescent="0.35">
      <c r="A6" s="8" t="s">
        <v>9</v>
      </c>
      <c r="B6" s="9">
        <v>177557800</v>
      </c>
      <c r="C6" s="18">
        <v>0</v>
      </c>
      <c r="D6" s="18">
        <f>SUM(B6+C6)</f>
        <v>177557800</v>
      </c>
      <c r="E6" s="18">
        <v>36756869.689999998</v>
      </c>
      <c r="F6" s="19">
        <f>E6/D6</f>
        <v>0.20701354539197939</v>
      </c>
      <c r="G6" s="9">
        <f>SUM(D6-E6)</f>
        <v>140800930.31</v>
      </c>
      <c r="H6" s="22">
        <f>G6/D6</f>
        <v>0.79298645460802064</v>
      </c>
    </row>
    <row r="7" spans="1:11" x14ac:dyDescent="0.35">
      <c r="A7" s="10" t="s">
        <v>10</v>
      </c>
      <c r="B7" s="11">
        <v>44136000</v>
      </c>
      <c r="C7" s="11">
        <v>0</v>
      </c>
      <c r="D7" s="11">
        <f t="shared" ref="D7:D9" si="0">SUM(B7+C7)</f>
        <v>44136000</v>
      </c>
      <c r="E7" s="11">
        <v>9084474.3300000001</v>
      </c>
      <c r="F7" s="21">
        <f>E7/D7</f>
        <v>0.20582912656334965</v>
      </c>
      <c r="G7" s="11">
        <f>SUM(D7-E7)</f>
        <v>35051525.670000002</v>
      </c>
      <c r="H7" s="23">
        <f>G7/D7</f>
        <v>0.79417087343665038</v>
      </c>
      <c r="J7" s="4" t="s">
        <v>92</v>
      </c>
    </row>
    <row r="8" spans="1:11" x14ac:dyDescent="0.35">
      <c r="A8" s="10" t="s">
        <v>11</v>
      </c>
      <c r="B8" s="11">
        <v>102322150</v>
      </c>
      <c r="C8" s="11">
        <v>-16587860</v>
      </c>
      <c r="D8" s="11">
        <f t="shared" si="0"/>
        <v>85734290</v>
      </c>
      <c r="E8" s="11">
        <v>8784036.9100000001</v>
      </c>
      <c r="F8" s="21">
        <f>E8/D8</f>
        <v>0.10245651897274707</v>
      </c>
      <c r="G8" s="11">
        <f>SUM(D8-E8)</f>
        <v>76950253.090000004</v>
      </c>
      <c r="H8" s="23">
        <f>G8/D8</f>
        <v>0.89754348102725301</v>
      </c>
      <c r="J8" s="7" t="s">
        <v>3</v>
      </c>
      <c r="K8" s="7" t="s">
        <v>4</v>
      </c>
    </row>
    <row r="9" spans="1:11" ht="24" x14ac:dyDescent="0.55000000000000004">
      <c r="A9" s="10" t="s">
        <v>12</v>
      </c>
      <c r="B9" s="11">
        <v>7961700</v>
      </c>
      <c r="C9" s="11">
        <v>0</v>
      </c>
      <c r="D9" s="11">
        <f t="shared" si="0"/>
        <v>7961700</v>
      </c>
      <c r="E9" s="11">
        <v>1853244.11</v>
      </c>
      <c r="F9" s="21">
        <f>E9/D9</f>
        <v>0.23276989964454828</v>
      </c>
      <c r="G9" s="11">
        <f>SUM(D9-E9)</f>
        <v>6108455.8899999997</v>
      </c>
      <c r="H9" s="23">
        <f>G9/D9</f>
        <v>0.76723010035545169</v>
      </c>
      <c r="J9" s="92">
        <f>F16</f>
        <v>0.14972860810538538</v>
      </c>
      <c r="K9" s="96">
        <f>H16</f>
        <v>0.85027139189461465</v>
      </c>
    </row>
    <row r="10" spans="1:11" x14ac:dyDescent="0.35">
      <c r="A10" s="12" t="s">
        <v>13</v>
      </c>
      <c r="B10" s="11">
        <f>SUM(B12:B13)</f>
        <v>10902450</v>
      </c>
      <c r="C10" s="11">
        <f>SUM(C12:C13)</f>
        <v>0</v>
      </c>
      <c r="D10" s="11">
        <f>SUM(D12:D13)</f>
        <v>10902450</v>
      </c>
      <c r="E10" s="11">
        <f>SUM(E12:E13)</f>
        <v>1542950</v>
      </c>
      <c r="F10" s="21">
        <f>E10/D10</f>
        <v>0.14152323560300667</v>
      </c>
      <c r="G10" s="11">
        <f>SUM(D10-E10)</f>
        <v>9359500</v>
      </c>
      <c r="H10" s="23">
        <f>G10/D10</f>
        <v>0.85847676439699339</v>
      </c>
      <c r="J10" s="94"/>
      <c r="K10" s="94"/>
    </row>
    <row r="11" spans="1:11" x14ac:dyDescent="0.35">
      <c r="A11" s="12" t="s">
        <v>118</v>
      </c>
      <c r="B11" s="11"/>
      <c r="C11" s="11"/>
      <c r="D11" s="11"/>
      <c r="E11" s="11"/>
      <c r="F11" s="21"/>
      <c r="G11" s="11"/>
      <c r="H11" s="23"/>
      <c r="J11" s="7" t="s">
        <v>99</v>
      </c>
      <c r="K11" s="7" t="s">
        <v>4</v>
      </c>
    </row>
    <row r="12" spans="1:11" s="13" customFormat="1" ht="24" x14ac:dyDescent="0.55000000000000004">
      <c r="A12" s="139" t="s">
        <v>116</v>
      </c>
      <c r="B12" s="137">
        <v>3129450</v>
      </c>
      <c r="C12" s="137">
        <v>0</v>
      </c>
      <c r="D12" s="137">
        <f>SUM(B12+C12)</f>
        <v>3129450</v>
      </c>
      <c r="E12" s="137">
        <v>1542950</v>
      </c>
      <c r="F12" s="136">
        <f>E12/D12</f>
        <v>0.49304190832254868</v>
      </c>
      <c r="G12" s="137">
        <f>SUM(D12-E12)</f>
        <v>1586500</v>
      </c>
      <c r="H12" s="138">
        <f>G12/D12</f>
        <v>0.50695809167745132</v>
      </c>
      <c r="J12" s="93">
        <f>F10</f>
        <v>0.14152323560300667</v>
      </c>
      <c r="K12" s="95">
        <f>H10</f>
        <v>0.85847676439699339</v>
      </c>
    </row>
    <row r="13" spans="1:11" s="13" customFormat="1" ht="24" x14ac:dyDescent="0.55000000000000004">
      <c r="A13" s="139" t="s">
        <v>117</v>
      </c>
      <c r="B13" s="137">
        <v>7773000</v>
      </c>
      <c r="C13" s="140">
        <v>0</v>
      </c>
      <c r="D13" s="137">
        <f>SUM(B13-C13)</f>
        <v>7773000</v>
      </c>
      <c r="E13" s="137">
        <v>0</v>
      </c>
      <c r="F13" s="136">
        <f>E13/D13</f>
        <v>0</v>
      </c>
      <c r="G13" s="137">
        <f>SUM(D13-E13)</f>
        <v>7773000</v>
      </c>
      <c r="H13" s="138">
        <f>G13/D13</f>
        <v>1</v>
      </c>
    </row>
    <row r="14" spans="1:11" x14ac:dyDescent="0.35">
      <c r="A14" s="10" t="s">
        <v>14</v>
      </c>
      <c r="B14" s="11">
        <v>11274600</v>
      </c>
      <c r="C14" s="11">
        <v>0</v>
      </c>
      <c r="D14" s="11">
        <f>SUM(B14)</f>
        <v>11274600</v>
      </c>
      <c r="E14" s="11">
        <v>188560</v>
      </c>
      <c r="F14" s="21">
        <f>E14/D14</f>
        <v>1.6724318379366009E-2</v>
      </c>
      <c r="G14" s="11">
        <f>SUM(D14-E14)</f>
        <v>11086040</v>
      </c>
      <c r="H14" s="23">
        <f>G14/D14</f>
        <v>0.98327568162063395</v>
      </c>
      <c r="J14" s="4" t="s">
        <v>92</v>
      </c>
    </row>
    <row r="15" spans="1:11" x14ac:dyDescent="0.35">
      <c r="A15" s="14" t="s">
        <v>15</v>
      </c>
      <c r="B15" s="15">
        <v>53820100</v>
      </c>
      <c r="C15" s="15">
        <v>1605600</v>
      </c>
      <c r="D15" s="11">
        <f>SUM(B15+C15)</f>
        <v>55425700</v>
      </c>
      <c r="E15" s="20">
        <v>632090.97</v>
      </c>
      <c r="F15" s="21">
        <f>E15/D15</f>
        <v>1.140429385646009E-2</v>
      </c>
      <c r="G15" s="15">
        <f>SUM(D15-E15)</f>
        <v>54793609.030000001</v>
      </c>
      <c r="H15" s="23">
        <f>G15/D15</f>
        <v>0.98859570614353998</v>
      </c>
      <c r="J15" s="7" t="s">
        <v>3</v>
      </c>
      <c r="K15" s="7" t="s">
        <v>100</v>
      </c>
    </row>
    <row r="16" spans="1:11" s="4" customFormat="1" ht="24.75" thickBot="1" x14ac:dyDescent="0.6">
      <c r="A16" s="16" t="s">
        <v>16</v>
      </c>
      <c r="B16" s="17">
        <f>SUM(B6:B15)-B10</f>
        <v>407974800</v>
      </c>
      <c r="C16" s="17">
        <f>SUM(C6:C15)-C10</f>
        <v>-14982260</v>
      </c>
      <c r="D16" s="17">
        <f>SUM(D6:D15)-D10</f>
        <v>392992540</v>
      </c>
      <c r="E16" s="17">
        <f>SUM(E6:E15)-E10</f>
        <v>58842226.00999999</v>
      </c>
      <c r="F16" s="24">
        <f>E16/D16</f>
        <v>0.14972860810538538</v>
      </c>
      <c r="G16" s="17">
        <f>SUM(G6:G15)-G10</f>
        <v>334150313.99000001</v>
      </c>
      <c r="H16" s="24">
        <f>G16/D16</f>
        <v>0.85027139189461465</v>
      </c>
      <c r="J16" s="92">
        <f>F16</f>
        <v>0.14972860810538538</v>
      </c>
      <c r="K16" s="96">
        <f>F19</f>
        <v>0.32</v>
      </c>
    </row>
    <row r="17" spans="1:11" s="4" customFormat="1" ht="21.75" thickTop="1" x14ac:dyDescent="0.35">
      <c r="A17" s="25"/>
      <c r="B17" s="26"/>
      <c r="C17" s="26"/>
      <c r="D17" s="26"/>
      <c r="E17" s="26"/>
      <c r="F17" s="27"/>
      <c r="G17" s="26"/>
      <c r="H17" s="27"/>
      <c r="J17" s="94"/>
      <c r="K17" s="94"/>
    </row>
    <row r="18" spans="1:11" x14ac:dyDescent="0.35">
      <c r="B18" s="135" t="s">
        <v>17</v>
      </c>
      <c r="C18" s="135"/>
      <c r="D18" s="135"/>
      <c r="E18" s="135"/>
      <c r="F18" s="135"/>
      <c r="G18" s="135"/>
      <c r="H18" s="131"/>
      <c r="J18" s="7" t="s">
        <v>99</v>
      </c>
      <c r="K18" s="7" t="s">
        <v>100</v>
      </c>
    </row>
    <row r="19" spans="1:11" ht="24" x14ac:dyDescent="0.55000000000000004">
      <c r="B19" s="133" t="s">
        <v>122</v>
      </c>
      <c r="C19" s="133"/>
      <c r="D19" s="133"/>
      <c r="E19" s="133"/>
      <c r="F19" s="141">
        <v>0.32</v>
      </c>
      <c r="G19" s="132"/>
      <c r="H19" s="36"/>
      <c r="J19" s="93">
        <f>F10</f>
        <v>0.14152323560300667</v>
      </c>
      <c r="K19" s="95">
        <f>F19</f>
        <v>0.32</v>
      </c>
    </row>
    <row r="20" spans="1:11" x14ac:dyDescent="0.35">
      <c r="B20" s="134" t="s">
        <v>123</v>
      </c>
      <c r="C20" s="134"/>
      <c r="D20" s="134"/>
      <c r="E20" s="134"/>
      <c r="F20" s="141">
        <f>F16</f>
        <v>0.14972860810538538</v>
      </c>
      <c r="G20" s="132"/>
      <c r="H20" s="37"/>
      <c r="J20" s="3"/>
    </row>
    <row r="21" spans="1:11" x14ac:dyDescent="0.35">
      <c r="D21" s="4"/>
      <c r="E21" s="65"/>
      <c r="F21" s="66"/>
      <c r="G21" s="4"/>
      <c r="J21" s="3"/>
    </row>
    <row r="23" spans="1:11" x14ac:dyDescent="0.35">
      <c r="J23" s="3"/>
    </row>
    <row r="24" spans="1:11" x14ac:dyDescent="0.35">
      <c r="J24" s="3"/>
    </row>
    <row r="25" spans="1:11" x14ac:dyDescent="0.35">
      <c r="J25" s="3"/>
    </row>
  </sheetData>
  <mergeCells count="10">
    <mergeCell ref="A1:H1"/>
    <mergeCell ref="A2:H2"/>
    <mergeCell ref="A3:H3"/>
    <mergeCell ref="A4:A5"/>
    <mergeCell ref="B4:D4"/>
    <mergeCell ref="E4:F4"/>
    <mergeCell ref="G4:H4"/>
    <mergeCell ref="B18:G18"/>
    <mergeCell ref="B19:E19"/>
    <mergeCell ref="B20:E20"/>
  </mergeCells>
  <printOptions horizontalCentered="1"/>
  <pageMargins left="0.39370078740157483" right="0.39370078740157483" top="0.39370078740157483" bottom="0.19685039370078741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543E1-A8AC-4813-B801-3183FC7B2C5B}">
  <dimension ref="A1:K25"/>
  <sheetViews>
    <sheetView tabSelected="1" zoomScale="80" zoomScaleNormal="80" workbookViewId="0">
      <selection activeCell="E42" sqref="E42"/>
    </sheetView>
  </sheetViews>
  <sheetFormatPr defaultRowHeight="21" x14ac:dyDescent="0.35"/>
  <cols>
    <col min="1" max="1" width="31.5" style="1" customWidth="1"/>
    <col min="2" max="2" width="17.5" style="1" customWidth="1"/>
    <col min="3" max="3" width="18.375" style="1" customWidth="1"/>
    <col min="4" max="4" width="21.25" style="1" customWidth="1"/>
    <col min="5" max="5" width="22.375" style="1" customWidth="1"/>
    <col min="6" max="6" width="16" style="1" customWidth="1"/>
    <col min="7" max="7" width="22.625" style="1" customWidth="1"/>
    <col min="8" max="8" width="16.375" style="1" customWidth="1"/>
    <col min="9" max="9" width="9" style="1"/>
    <col min="10" max="10" width="19.625" style="1" bestFit="1" customWidth="1"/>
    <col min="11" max="11" width="11.125" style="1" bestFit="1" customWidth="1"/>
    <col min="12" max="16384" width="9" style="1"/>
  </cols>
  <sheetData>
    <row r="1" spans="1:11" s="2" customFormat="1" x14ac:dyDescent="0.2">
      <c r="A1" s="102" t="s">
        <v>114</v>
      </c>
      <c r="B1" s="102"/>
      <c r="C1" s="102"/>
      <c r="D1" s="102"/>
      <c r="E1" s="102"/>
      <c r="F1" s="102"/>
      <c r="G1" s="102"/>
      <c r="H1" s="102"/>
    </row>
    <row r="2" spans="1:11" s="2" customFormat="1" x14ac:dyDescent="0.2">
      <c r="A2" s="102" t="s">
        <v>18</v>
      </c>
      <c r="B2" s="102"/>
      <c r="C2" s="102"/>
      <c r="D2" s="102"/>
      <c r="E2" s="102"/>
      <c r="F2" s="102"/>
      <c r="G2" s="102"/>
      <c r="H2" s="102"/>
    </row>
    <row r="3" spans="1:11" s="2" customFormat="1" x14ac:dyDescent="0.2">
      <c r="A3" s="102" t="s">
        <v>115</v>
      </c>
      <c r="B3" s="102"/>
      <c r="C3" s="102"/>
      <c r="D3" s="102"/>
      <c r="E3" s="102"/>
      <c r="F3" s="102"/>
      <c r="G3" s="102"/>
      <c r="H3" s="102"/>
    </row>
    <row r="4" spans="1:11" s="5" customFormat="1" x14ac:dyDescent="0.2">
      <c r="A4" s="103" t="s">
        <v>0</v>
      </c>
      <c r="B4" s="103" t="s">
        <v>1</v>
      </c>
      <c r="C4" s="103"/>
      <c r="D4" s="103"/>
      <c r="E4" s="103" t="s">
        <v>3</v>
      </c>
      <c r="F4" s="103"/>
      <c r="G4" s="103" t="s">
        <v>4</v>
      </c>
      <c r="H4" s="103"/>
    </row>
    <row r="5" spans="1:11" s="5" customFormat="1" ht="42" x14ac:dyDescent="0.35">
      <c r="A5" s="103"/>
      <c r="B5" s="6" t="s">
        <v>5</v>
      </c>
      <c r="C5" s="6" t="s">
        <v>91</v>
      </c>
      <c r="D5" s="6" t="s">
        <v>6</v>
      </c>
      <c r="E5" s="7" t="s">
        <v>7</v>
      </c>
      <c r="F5" s="7" t="s">
        <v>8</v>
      </c>
      <c r="G5" s="7" t="s">
        <v>7</v>
      </c>
      <c r="H5" s="7" t="s">
        <v>8</v>
      </c>
      <c r="J5" s="38"/>
      <c r="K5" s="38"/>
    </row>
    <row r="6" spans="1:11" x14ac:dyDescent="0.35">
      <c r="A6" s="8" t="s">
        <v>9</v>
      </c>
      <c r="B6" s="9">
        <v>177557800</v>
      </c>
      <c r="C6" s="18">
        <v>0</v>
      </c>
      <c r="D6" s="18">
        <f>SUM(B6+C6)</f>
        <v>177557800</v>
      </c>
      <c r="E6" s="18">
        <v>73219161.420000002</v>
      </c>
      <c r="F6" s="19">
        <f>E6/D6</f>
        <v>0.41236803688714324</v>
      </c>
      <c r="G6" s="9">
        <f>SUM(D6-E6)</f>
        <v>104338638.58</v>
      </c>
      <c r="H6" s="22">
        <f>G6/D6</f>
        <v>0.58763196311285681</v>
      </c>
    </row>
    <row r="7" spans="1:11" x14ac:dyDescent="0.35">
      <c r="A7" s="10" t="s">
        <v>10</v>
      </c>
      <c r="B7" s="11">
        <v>44136000</v>
      </c>
      <c r="C7" s="11">
        <v>0</v>
      </c>
      <c r="D7" s="11">
        <f t="shared" ref="D7:D9" si="0">SUM(B7+C7)</f>
        <v>44136000</v>
      </c>
      <c r="E7" s="11">
        <v>18357553.039999999</v>
      </c>
      <c r="F7" s="21">
        <f>E7/D7</f>
        <v>0.41593150806597784</v>
      </c>
      <c r="G7" s="11">
        <f>SUM(D7-E7)</f>
        <v>25778446.960000001</v>
      </c>
      <c r="H7" s="23">
        <f>G7/D7</f>
        <v>0.5840684919340221</v>
      </c>
      <c r="J7" s="4" t="s">
        <v>92</v>
      </c>
    </row>
    <row r="8" spans="1:11" x14ac:dyDescent="0.35">
      <c r="A8" s="10" t="s">
        <v>11</v>
      </c>
      <c r="B8" s="11">
        <v>102322150</v>
      </c>
      <c r="C8" s="11">
        <v>-16587860</v>
      </c>
      <c r="D8" s="11">
        <f t="shared" si="0"/>
        <v>85734290</v>
      </c>
      <c r="E8" s="11">
        <v>26155111.760000002</v>
      </c>
      <c r="F8" s="21">
        <f>E8/D8</f>
        <v>0.30507177186630929</v>
      </c>
      <c r="G8" s="11">
        <f>SUM(D8-E8)</f>
        <v>59579178.239999995</v>
      </c>
      <c r="H8" s="23">
        <f>G8/D8</f>
        <v>0.69492822813369071</v>
      </c>
      <c r="J8" s="7" t="s">
        <v>3</v>
      </c>
      <c r="K8" s="7" t="s">
        <v>4</v>
      </c>
    </row>
    <row r="9" spans="1:11" ht="24" x14ac:dyDescent="0.55000000000000004">
      <c r="A9" s="10" t="s">
        <v>12</v>
      </c>
      <c r="B9" s="11">
        <v>7961700</v>
      </c>
      <c r="C9" s="11">
        <v>0</v>
      </c>
      <c r="D9" s="11">
        <f t="shared" si="0"/>
        <v>7961700</v>
      </c>
      <c r="E9" s="11">
        <v>4599103.82</v>
      </c>
      <c r="F9" s="21">
        <f>E9/D9</f>
        <v>0.57765349360061302</v>
      </c>
      <c r="G9" s="11">
        <f>SUM(D9-E9)</f>
        <v>3362596.1799999997</v>
      </c>
      <c r="H9" s="23">
        <f>G9/D9</f>
        <v>0.42234650639938703</v>
      </c>
      <c r="J9" s="92">
        <f>F16</f>
        <v>0.33184707896456334</v>
      </c>
      <c r="K9" s="96">
        <f>H16</f>
        <v>0.66815292103543666</v>
      </c>
    </row>
    <row r="10" spans="1:11" x14ac:dyDescent="0.35">
      <c r="A10" s="12" t="s">
        <v>13</v>
      </c>
      <c r="B10" s="11">
        <f>SUM(B12:B13)</f>
        <v>10902450</v>
      </c>
      <c r="C10" s="11">
        <f>SUM(C12:C13)</f>
        <v>0</v>
      </c>
      <c r="D10" s="11">
        <f>SUM(D12:D13)</f>
        <v>10902450</v>
      </c>
      <c r="E10" s="11">
        <f>SUM(E12:E13)</f>
        <v>3122170</v>
      </c>
      <c r="F10" s="21">
        <f>E10/D10</f>
        <v>0.28637324638040074</v>
      </c>
      <c r="G10" s="11">
        <f>SUM(D10-E10)</f>
        <v>7780280</v>
      </c>
      <c r="H10" s="23">
        <f>G10/D10</f>
        <v>0.71362675361959926</v>
      </c>
      <c r="J10" s="94"/>
      <c r="K10" s="94"/>
    </row>
    <row r="11" spans="1:11" x14ac:dyDescent="0.35">
      <c r="A11" s="12" t="s">
        <v>118</v>
      </c>
      <c r="B11" s="11"/>
      <c r="C11" s="11"/>
      <c r="D11" s="11"/>
      <c r="E11" s="11"/>
      <c r="F11" s="21"/>
      <c r="G11" s="11"/>
      <c r="H11" s="23"/>
      <c r="J11" s="7" t="s">
        <v>99</v>
      </c>
      <c r="K11" s="7" t="s">
        <v>4</v>
      </c>
    </row>
    <row r="12" spans="1:11" s="13" customFormat="1" ht="24" x14ac:dyDescent="0.55000000000000004">
      <c r="A12" s="139" t="s">
        <v>116</v>
      </c>
      <c r="B12" s="137">
        <v>3129450</v>
      </c>
      <c r="C12" s="137">
        <v>0</v>
      </c>
      <c r="D12" s="137">
        <f>SUM(B12+C12)</f>
        <v>3129450</v>
      </c>
      <c r="E12" s="137">
        <v>3122170</v>
      </c>
      <c r="F12" s="136">
        <f>E12/D12</f>
        <v>0.99767371263321036</v>
      </c>
      <c r="G12" s="137">
        <f>SUM(D12-E12)</f>
        <v>7280</v>
      </c>
      <c r="H12" s="138">
        <f>G12/D12</f>
        <v>2.3262873667896913E-3</v>
      </c>
      <c r="J12" s="93">
        <f>F10</f>
        <v>0.28637324638040074</v>
      </c>
      <c r="K12" s="95">
        <f>H10</f>
        <v>0.71362675361959926</v>
      </c>
    </row>
    <row r="13" spans="1:11" s="13" customFormat="1" ht="24" x14ac:dyDescent="0.55000000000000004">
      <c r="A13" s="139" t="s">
        <v>117</v>
      </c>
      <c r="B13" s="137">
        <v>7773000</v>
      </c>
      <c r="C13" s="140">
        <v>0</v>
      </c>
      <c r="D13" s="137">
        <f>SUM(B13-C13)</f>
        <v>7773000</v>
      </c>
      <c r="E13" s="137">
        <v>0</v>
      </c>
      <c r="F13" s="136">
        <f>E13/D13</f>
        <v>0</v>
      </c>
      <c r="G13" s="137">
        <f>SUM(D13-E13)</f>
        <v>7773000</v>
      </c>
      <c r="H13" s="138">
        <f>G13/D13</f>
        <v>1</v>
      </c>
    </row>
    <row r="14" spans="1:11" x14ac:dyDescent="0.35">
      <c r="A14" s="10" t="s">
        <v>14</v>
      </c>
      <c r="B14" s="11">
        <v>11274600</v>
      </c>
      <c r="C14" s="11">
        <v>0</v>
      </c>
      <c r="D14" s="11">
        <f>SUM(B14)</f>
        <v>11274600</v>
      </c>
      <c r="E14" s="11">
        <v>2889536</v>
      </c>
      <c r="F14" s="21">
        <f>E14/D14</f>
        <v>0.25628722970216239</v>
      </c>
      <c r="G14" s="11">
        <f>SUM(D14-E14)</f>
        <v>8385064</v>
      </c>
      <c r="H14" s="23">
        <f>G14/D14</f>
        <v>0.74371277029783767</v>
      </c>
      <c r="J14" s="4" t="s">
        <v>92</v>
      </c>
    </row>
    <row r="15" spans="1:11" x14ac:dyDescent="0.35">
      <c r="A15" s="14" t="s">
        <v>15</v>
      </c>
      <c r="B15" s="15">
        <v>53820100</v>
      </c>
      <c r="C15" s="15">
        <v>10263100</v>
      </c>
      <c r="D15" s="11">
        <f>SUM(B15+C15)</f>
        <v>64083200</v>
      </c>
      <c r="E15" s="20">
        <v>4943756.5</v>
      </c>
      <c r="F15" s="21">
        <f>E15/D15</f>
        <v>7.7145905635174275E-2</v>
      </c>
      <c r="G15" s="15">
        <f>SUM(D15-E15)</f>
        <v>59139443.5</v>
      </c>
      <c r="H15" s="23">
        <f>G15/D15</f>
        <v>0.92285409436482568</v>
      </c>
      <c r="J15" s="7" t="s">
        <v>3</v>
      </c>
      <c r="K15" s="7" t="s">
        <v>100</v>
      </c>
    </row>
    <row r="16" spans="1:11" s="4" customFormat="1" ht="24.75" thickBot="1" x14ac:dyDescent="0.6">
      <c r="A16" s="16" t="s">
        <v>16</v>
      </c>
      <c r="B16" s="17">
        <f>SUM(B6:B15)-B10</f>
        <v>407974800</v>
      </c>
      <c r="C16" s="17">
        <f>SUM(C6:C15)-C10</f>
        <v>-6324760</v>
      </c>
      <c r="D16" s="17">
        <f>SUM(D6:D15)-D10</f>
        <v>401650040</v>
      </c>
      <c r="E16" s="17">
        <f>SUM(E6:E15)-E10</f>
        <v>133286392.54000002</v>
      </c>
      <c r="F16" s="24">
        <f>E16/D16</f>
        <v>0.33184707896456334</v>
      </c>
      <c r="G16" s="17">
        <f>SUM(G6:G15)-G10</f>
        <v>268363647.45999998</v>
      </c>
      <c r="H16" s="24">
        <f>G16/D16</f>
        <v>0.66815292103543666</v>
      </c>
      <c r="J16" s="92">
        <f>F16</f>
        <v>0.33184707896456334</v>
      </c>
      <c r="K16" s="96">
        <f>F19</f>
        <v>0.54</v>
      </c>
    </row>
    <row r="17" spans="1:11" s="4" customFormat="1" ht="21.75" thickTop="1" x14ac:dyDescent="0.35">
      <c r="A17" s="25"/>
      <c r="B17" s="26"/>
      <c r="C17" s="26"/>
      <c r="D17" s="26"/>
      <c r="E17" s="26"/>
      <c r="F17" s="27"/>
      <c r="G17" s="26"/>
      <c r="H17" s="27"/>
      <c r="J17" s="94"/>
      <c r="K17" s="94"/>
    </row>
    <row r="18" spans="1:11" x14ac:dyDescent="0.35">
      <c r="B18" s="135" t="s">
        <v>17</v>
      </c>
      <c r="C18" s="135"/>
      <c r="D18" s="135"/>
      <c r="E18" s="135"/>
      <c r="F18" s="135"/>
      <c r="G18" s="135"/>
      <c r="H18" s="131"/>
      <c r="J18" s="7" t="s">
        <v>99</v>
      </c>
      <c r="K18" s="7" t="s">
        <v>100</v>
      </c>
    </row>
    <row r="19" spans="1:11" ht="24" x14ac:dyDescent="0.55000000000000004">
      <c r="B19" s="133" t="s">
        <v>119</v>
      </c>
      <c r="C19" s="133"/>
      <c r="D19" s="133"/>
      <c r="E19" s="133"/>
      <c r="F19" s="141">
        <v>0.54</v>
      </c>
      <c r="G19" s="132"/>
      <c r="H19" s="36"/>
      <c r="J19" s="93">
        <f>F10</f>
        <v>0.28637324638040074</v>
      </c>
      <c r="K19" s="95">
        <f>F19</f>
        <v>0.54</v>
      </c>
    </row>
    <row r="20" spans="1:11" x14ac:dyDescent="0.35">
      <c r="B20" s="134" t="s">
        <v>120</v>
      </c>
      <c r="C20" s="134"/>
      <c r="D20" s="134"/>
      <c r="E20" s="134"/>
      <c r="F20" s="141">
        <f>F16</f>
        <v>0.33184707896456334</v>
      </c>
      <c r="G20" s="132"/>
      <c r="H20" s="37"/>
      <c r="J20" s="3"/>
    </row>
    <row r="21" spans="1:11" x14ac:dyDescent="0.35">
      <c r="D21" s="4"/>
      <c r="E21" s="65"/>
      <c r="F21" s="66"/>
      <c r="G21" s="4"/>
      <c r="J21" s="3"/>
    </row>
    <row r="23" spans="1:11" x14ac:dyDescent="0.35">
      <c r="J23" s="3"/>
    </row>
    <row r="24" spans="1:11" x14ac:dyDescent="0.35">
      <c r="J24" s="3"/>
    </row>
    <row r="25" spans="1:11" x14ac:dyDescent="0.35">
      <c r="J25" s="3"/>
    </row>
  </sheetData>
  <mergeCells count="10">
    <mergeCell ref="B18:G18"/>
    <mergeCell ref="B19:E19"/>
    <mergeCell ref="B20:E20"/>
    <mergeCell ref="A1:H1"/>
    <mergeCell ref="A2:H2"/>
    <mergeCell ref="A3:H3"/>
    <mergeCell ref="A4:A5"/>
    <mergeCell ref="B4:D4"/>
    <mergeCell ref="E4:F4"/>
    <mergeCell ref="G4:H4"/>
  </mergeCells>
  <printOptions horizontalCentered="1"/>
  <pageMargins left="0.39370078740157483" right="0.39370078740157483" top="0.39370078740157483" bottom="0.19685039370078741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AD055-1D93-4161-A119-8B495B38F662}">
  <dimension ref="A1:F19"/>
  <sheetViews>
    <sheetView zoomScale="120" zoomScaleNormal="120" workbookViewId="0">
      <selection activeCell="G13" sqref="G13"/>
    </sheetView>
  </sheetViews>
  <sheetFormatPr defaultRowHeight="21" x14ac:dyDescent="0.2"/>
  <cols>
    <col min="1" max="1" width="13" style="82" customWidth="1"/>
    <col min="2" max="2" width="15" style="56" customWidth="1"/>
    <col min="3" max="3" width="18.125" style="56" customWidth="1"/>
    <col min="4" max="4" width="17.75" style="56" customWidth="1"/>
    <col min="5" max="5" width="18.375" style="56" customWidth="1"/>
    <col min="6" max="6" width="17.25" style="56" customWidth="1"/>
    <col min="7" max="16384" width="9" style="56"/>
  </cols>
  <sheetData>
    <row r="1" spans="1:6" s="82" customFormat="1" x14ac:dyDescent="0.2">
      <c r="A1" s="104" t="s">
        <v>2</v>
      </c>
      <c r="B1" s="104"/>
      <c r="C1" s="104"/>
      <c r="D1" s="104"/>
      <c r="E1" s="104"/>
      <c r="F1" s="104"/>
    </row>
    <row r="2" spans="1:6" s="82" customFormat="1" x14ac:dyDescent="0.2">
      <c r="A2" s="104" t="s">
        <v>93</v>
      </c>
      <c r="B2" s="104"/>
      <c r="C2" s="104"/>
      <c r="D2" s="104"/>
      <c r="E2" s="104"/>
      <c r="F2" s="104"/>
    </row>
    <row r="3" spans="1:6" s="82" customFormat="1" x14ac:dyDescent="0.2">
      <c r="A3" s="104" t="s">
        <v>92</v>
      </c>
      <c r="B3" s="104"/>
      <c r="C3" s="104"/>
      <c r="D3" s="104"/>
      <c r="E3" s="104"/>
      <c r="F3" s="104"/>
    </row>
    <row r="4" spans="1:6" s="82" customFormat="1" ht="24.95" customHeight="1" x14ac:dyDescent="0.2">
      <c r="A4" s="83" t="s">
        <v>97</v>
      </c>
      <c r="B4" s="83" t="s">
        <v>94</v>
      </c>
      <c r="C4" s="83" t="s">
        <v>95</v>
      </c>
      <c r="D4" s="83" t="s">
        <v>98</v>
      </c>
      <c r="E4" s="83" t="s">
        <v>96</v>
      </c>
      <c r="F4" s="83" t="s">
        <v>77</v>
      </c>
    </row>
    <row r="5" spans="1:6" ht="24.95" customHeight="1" x14ac:dyDescent="0.2">
      <c r="A5" s="83" t="s">
        <v>68</v>
      </c>
      <c r="B5" s="84">
        <v>290320</v>
      </c>
      <c r="C5" s="58">
        <f>SUM(100094+8586683.37)</f>
        <v>8686777.3699999992</v>
      </c>
      <c r="D5" s="85">
        <f>SUM(69076.5+107864)</f>
        <v>176940.5</v>
      </c>
      <c r="E5" s="86">
        <f>SUM(29400+177333)</f>
        <v>206733</v>
      </c>
      <c r="F5" s="57">
        <f t="shared" ref="F5:F17" si="0">SUM(B5:E5)</f>
        <v>9360770.8699999992</v>
      </c>
    </row>
    <row r="6" spans="1:6" ht="24.95" customHeight="1" x14ac:dyDescent="0.2">
      <c r="A6" s="83" t="s">
        <v>69</v>
      </c>
      <c r="B6" s="84">
        <v>371880</v>
      </c>
      <c r="C6" s="58">
        <v>351674.13</v>
      </c>
      <c r="D6" s="85">
        <f>SUM(13620.5+109395)</f>
        <v>123015.5</v>
      </c>
      <c r="E6" s="86">
        <f>SUM(2410+35300)</f>
        <v>37710</v>
      </c>
      <c r="F6" s="57">
        <f t="shared" si="0"/>
        <v>884279.63</v>
      </c>
    </row>
    <row r="7" spans="1:6" ht="24.95" customHeight="1" x14ac:dyDescent="0.2">
      <c r="A7" s="83" t="s">
        <v>19</v>
      </c>
      <c r="B7" s="84">
        <v>159200</v>
      </c>
      <c r="C7" s="58">
        <f>SUM(88000+157470.34)</f>
        <v>245470.34</v>
      </c>
      <c r="D7" s="85">
        <f>SUM(15954.8+133981)</f>
        <v>149935.79999999999</v>
      </c>
      <c r="E7" s="86">
        <f>SUM(1530+57400)</f>
        <v>58930</v>
      </c>
      <c r="F7" s="57">
        <f t="shared" si="0"/>
        <v>613536.1399999999</v>
      </c>
    </row>
    <row r="8" spans="1:6" ht="24.95" customHeight="1" x14ac:dyDescent="0.2">
      <c r="A8" s="83" t="s">
        <v>20</v>
      </c>
      <c r="B8" s="84">
        <v>70200</v>
      </c>
      <c r="C8" s="58">
        <f>SUM(4396+130800)</f>
        <v>135196</v>
      </c>
      <c r="D8" s="85">
        <f>SUM(33821.5+51334)</f>
        <v>85155.5</v>
      </c>
      <c r="E8" s="86">
        <f>SUM(31470+86405)</f>
        <v>117875</v>
      </c>
      <c r="F8" s="57">
        <f t="shared" si="0"/>
        <v>408426.5</v>
      </c>
    </row>
    <row r="9" spans="1:6" ht="24.95" customHeight="1" x14ac:dyDescent="0.2">
      <c r="A9" s="83" t="s">
        <v>70</v>
      </c>
      <c r="B9" s="84">
        <v>14132996.85</v>
      </c>
      <c r="C9" s="58">
        <v>871855</v>
      </c>
      <c r="D9" s="85">
        <f>SUM(238743.9+32742)</f>
        <v>271485.90000000002</v>
      </c>
      <c r="E9" s="86">
        <v>2564513</v>
      </c>
      <c r="F9" s="57">
        <f t="shared" si="0"/>
        <v>17840850.75</v>
      </c>
    </row>
    <row r="10" spans="1:6" ht="24.95" customHeight="1" x14ac:dyDescent="0.2">
      <c r="A10" s="83" t="s">
        <v>71</v>
      </c>
      <c r="B10" s="84">
        <v>4627005</v>
      </c>
      <c r="C10" s="58">
        <f>SUM(89870+21980)</f>
        <v>111850</v>
      </c>
      <c r="D10" s="85">
        <f>SUM(264586.3+73412)</f>
        <v>337998.3</v>
      </c>
      <c r="E10" s="86">
        <f>SUM(76080+331192)</f>
        <v>407272</v>
      </c>
      <c r="F10" s="57">
        <f t="shared" si="0"/>
        <v>5484125.2999999998</v>
      </c>
    </row>
    <row r="11" spans="1:6" ht="24.95" customHeight="1" x14ac:dyDescent="0.2">
      <c r="A11" s="83" t="s">
        <v>72</v>
      </c>
      <c r="B11" s="84">
        <v>669660</v>
      </c>
      <c r="C11" s="58">
        <f>SUM(4560+222230)</f>
        <v>226790</v>
      </c>
      <c r="D11" s="85">
        <f>SUM(42855.9+89151)</f>
        <v>132006.9</v>
      </c>
      <c r="E11" s="86">
        <f>SUM(1520+566739)</f>
        <v>568259</v>
      </c>
      <c r="F11" s="57">
        <f t="shared" si="0"/>
        <v>1596715.9</v>
      </c>
    </row>
    <row r="12" spans="1:6" ht="24.95" customHeight="1" x14ac:dyDescent="0.2">
      <c r="A12" s="83" t="s">
        <v>73</v>
      </c>
      <c r="B12" s="84">
        <v>499890</v>
      </c>
      <c r="C12" s="58">
        <f>SUM(64759+1140534)</f>
        <v>1205293</v>
      </c>
      <c r="D12" s="85">
        <v>95985.1</v>
      </c>
      <c r="E12" s="86">
        <v>40300</v>
      </c>
      <c r="F12" s="57">
        <f t="shared" si="0"/>
        <v>1841468.1</v>
      </c>
    </row>
    <row r="13" spans="1:6" ht="24.95" customHeight="1" x14ac:dyDescent="0.2">
      <c r="A13" s="83" t="s">
        <v>21</v>
      </c>
      <c r="B13" s="84">
        <v>907410</v>
      </c>
      <c r="C13" s="58">
        <v>89012</v>
      </c>
      <c r="D13" s="85"/>
      <c r="E13" s="86">
        <v>289224</v>
      </c>
      <c r="F13" s="57">
        <f t="shared" si="0"/>
        <v>1285646</v>
      </c>
    </row>
    <row r="14" spans="1:6" ht="24.95" customHeight="1" x14ac:dyDescent="0.2">
      <c r="A14" s="83" t="s">
        <v>74</v>
      </c>
      <c r="B14" s="84">
        <v>4709764.3600000003</v>
      </c>
      <c r="C14" s="58">
        <f>SUM(166102+378605)</f>
        <v>544707</v>
      </c>
      <c r="D14" s="85">
        <f>SUM(65236.5+98000)</f>
        <v>163236.5</v>
      </c>
      <c r="E14" s="86">
        <f>SUM(298840+215464.65)</f>
        <v>514304.65</v>
      </c>
      <c r="F14" s="57">
        <f t="shared" si="0"/>
        <v>5932012.5100000007</v>
      </c>
    </row>
    <row r="15" spans="1:6" ht="24.95" customHeight="1" x14ac:dyDescent="0.2">
      <c r="A15" s="83" t="s">
        <v>75</v>
      </c>
      <c r="B15" s="84">
        <v>50650</v>
      </c>
      <c r="C15" s="58">
        <v>553520</v>
      </c>
      <c r="D15" s="85">
        <f>SUM(66684+49915)</f>
        <v>116599</v>
      </c>
      <c r="E15" s="86">
        <f>SUM(59190+7800)</f>
        <v>66990</v>
      </c>
      <c r="F15" s="57">
        <f t="shared" si="0"/>
        <v>787759</v>
      </c>
    </row>
    <row r="16" spans="1:6" ht="24.95" customHeight="1" x14ac:dyDescent="0.2">
      <c r="A16" s="83" t="s">
        <v>76</v>
      </c>
      <c r="B16" s="84">
        <v>253900</v>
      </c>
      <c r="C16" s="58">
        <f>SUM(81700+7913208)</f>
        <v>7994908</v>
      </c>
      <c r="D16" s="85">
        <f>SUM(23792.7+33173)</f>
        <v>56965.7</v>
      </c>
      <c r="E16" s="86">
        <v>309499</v>
      </c>
      <c r="F16" s="57">
        <f t="shared" si="0"/>
        <v>8615272.6999999993</v>
      </c>
    </row>
    <row r="17" spans="1:6" s="82" customFormat="1" ht="24.95" customHeight="1" x14ac:dyDescent="0.2">
      <c r="A17" s="83" t="s">
        <v>77</v>
      </c>
      <c r="B17" s="88">
        <f>SUM(B5:B16)</f>
        <v>26742876.210000001</v>
      </c>
      <c r="C17" s="87">
        <f>SUM(C5:C16)</f>
        <v>21017052.84</v>
      </c>
      <c r="D17" s="89">
        <f>SUM(D5:D16)</f>
        <v>1709324.7</v>
      </c>
      <c r="E17" s="90">
        <f>SUM(E5:E16)</f>
        <v>5181609.6500000004</v>
      </c>
      <c r="F17" s="91">
        <f t="shared" si="0"/>
        <v>54650863.399999999</v>
      </c>
    </row>
    <row r="18" spans="1:6" x14ac:dyDescent="0.2">
      <c r="D18" s="105" t="s">
        <v>87</v>
      </c>
      <c r="E18" s="105"/>
      <c r="F18" s="56">
        <f>รายงาน!E11</f>
        <v>1669794</v>
      </c>
    </row>
    <row r="19" spans="1:6" x14ac:dyDescent="0.2">
      <c r="D19" s="106" t="s">
        <v>88</v>
      </c>
      <c r="E19" s="106"/>
      <c r="F19" s="56">
        <f>SUM(F17-F18)</f>
        <v>52981069.399999999</v>
      </c>
    </row>
  </sheetData>
  <mergeCells count="5">
    <mergeCell ref="A1:F1"/>
    <mergeCell ref="A3:F3"/>
    <mergeCell ref="D18:E18"/>
    <mergeCell ref="D19:E19"/>
    <mergeCell ref="A2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24461-061F-482B-98D9-A12294B4A06C}">
  <dimension ref="A1:J17"/>
  <sheetViews>
    <sheetView workbookViewId="0">
      <selection activeCell="F18" sqref="F18"/>
    </sheetView>
  </sheetViews>
  <sheetFormatPr defaultRowHeight="21" x14ac:dyDescent="0.35"/>
  <cols>
    <col min="1" max="6" width="9" style="1"/>
    <col min="7" max="7" width="11.375" style="1" customWidth="1"/>
    <col min="8" max="8" width="9" style="1"/>
    <col min="9" max="9" width="18.25" style="1" customWidth="1"/>
    <col min="10" max="16384" width="9" style="1"/>
  </cols>
  <sheetData>
    <row r="1" spans="1:10" s="4" customFormat="1" x14ac:dyDescent="0.35">
      <c r="A1" s="107" t="s">
        <v>26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4" customFormat="1" x14ac:dyDescent="0.35">
      <c r="A2" s="107" t="s">
        <v>27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s="4" customFormat="1" x14ac:dyDescent="0.35">
      <c r="A3" s="107" t="s">
        <v>28</v>
      </c>
      <c r="B3" s="107"/>
      <c r="C3" s="107"/>
      <c r="D3" s="107"/>
      <c r="E3" s="107"/>
      <c r="F3" s="107"/>
      <c r="G3" s="107"/>
      <c r="H3" s="107"/>
      <c r="I3" s="107"/>
      <c r="J3" s="107"/>
    </row>
    <row r="12" spans="1:10" x14ac:dyDescent="0.35">
      <c r="G12" s="35" t="s">
        <v>32</v>
      </c>
      <c r="H12" s="33"/>
      <c r="I12" s="34"/>
    </row>
    <row r="13" spans="1:10" x14ac:dyDescent="0.35">
      <c r="G13" s="28" t="s">
        <v>29</v>
      </c>
      <c r="I13" s="29"/>
    </row>
    <row r="14" spans="1:10" x14ac:dyDescent="0.35">
      <c r="G14" s="28" t="s">
        <v>30</v>
      </c>
      <c r="I14" s="29"/>
    </row>
    <row r="15" spans="1:10" x14ac:dyDescent="0.35">
      <c r="G15" s="28" t="s">
        <v>33</v>
      </c>
      <c r="I15" s="29"/>
    </row>
    <row r="16" spans="1:10" x14ac:dyDescent="0.35">
      <c r="G16" s="28" t="s">
        <v>34</v>
      </c>
      <c r="I16" s="29"/>
    </row>
    <row r="17" spans="7:9" x14ac:dyDescent="0.35">
      <c r="G17" s="30" t="s">
        <v>31</v>
      </c>
      <c r="H17" s="31"/>
      <c r="I17" s="32"/>
    </row>
  </sheetData>
  <mergeCells count="3">
    <mergeCell ref="A1:J1"/>
    <mergeCell ref="A2:J2"/>
    <mergeCell ref="A3:J3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AF854-0C27-4B3E-AFC1-A09ED6F4609F}">
  <dimension ref="A1:Y30"/>
  <sheetViews>
    <sheetView zoomScale="80" zoomScaleNormal="80" workbookViewId="0">
      <pane xSplit="1" ySplit="7" topLeftCell="B19" activePane="bottomRight" state="frozen"/>
      <selection pane="topRight" activeCell="B1" sqref="B1"/>
      <selection pane="bottomLeft" activeCell="A9" sqref="A9"/>
      <selection pane="bottomRight" activeCell="C17" sqref="C17"/>
    </sheetView>
  </sheetViews>
  <sheetFormatPr defaultRowHeight="18.75" x14ac:dyDescent="0.3"/>
  <cols>
    <col min="1" max="1" width="33.75" style="43" customWidth="1"/>
    <col min="2" max="2" width="13.75" style="43" bestFit="1" customWidth="1"/>
    <col min="3" max="3" width="21.625" style="43" customWidth="1"/>
    <col min="4" max="4" width="13.75" style="43" customWidth="1"/>
    <col min="5" max="5" width="13.75" style="43" bestFit="1" customWidth="1"/>
    <col min="6" max="6" width="8" style="68" bestFit="1" customWidth="1"/>
    <col min="7" max="7" width="11.375" style="60" hidden="1" customWidth="1"/>
    <col min="8" max="8" width="5.625" style="67" hidden="1" customWidth="1"/>
    <col min="9" max="9" width="11.375" style="60" hidden="1" customWidth="1"/>
    <col min="10" max="10" width="6.375" style="68" hidden="1" customWidth="1"/>
    <col min="11" max="11" width="11.375" style="60" hidden="1" customWidth="1"/>
    <col min="12" max="12" width="6.375" style="68" hidden="1" customWidth="1"/>
    <col min="13" max="13" width="11.375" style="60" hidden="1" customWidth="1"/>
    <col min="14" max="14" width="6.375" style="68" hidden="1" customWidth="1"/>
    <col min="15" max="15" width="11.375" style="60" hidden="1" customWidth="1"/>
    <col min="16" max="16" width="6.375" style="68" hidden="1" customWidth="1"/>
    <col min="17" max="17" width="11.375" style="60" hidden="1" customWidth="1"/>
    <col min="18" max="18" width="7.125" style="68" hidden="1" customWidth="1"/>
    <col min="19" max="19" width="11.375" style="60" hidden="1" customWidth="1"/>
    <col min="20" max="20" width="6.375" style="68" hidden="1" customWidth="1"/>
    <col min="21" max="21" width="13.75" style="43" bestFit="1" customWidth="1"/>
    <col min="22" max="22" width="8" style="43" bestFit="1" customWidth="1"/>
    <col min="23" max="23" width="14.75" style="43" customWidth="1"/>
    <col min="24" max="24" width="7.75" style="43" bestFit="1" customWidth="1"/>
    <col min="25" max="25" width="13" style="43" customWidth="1"/>
    <col min="26" max="16384" width="9" style="43"/>
  </cols>
  <sheetData>
    <row r="1" spans="1:25" s="42" customFormat="1" x14ac:dyDescent="0.3">
      <c r="A1" s="118" t="s">
        <v>35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s="42" customFormat="1" x14ac:dyDescent="0.3">
      <c r="A2" s="118" t="s">
        <v>85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</row>
    <row r="3" spans="1:25" s="42" customFormat="1" x14ac:dyDescent="0.3">
      <c r="A3" s="118" t="s">
        <v>36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</row>
    <row r="4" spans="1:25" s="44" customFormat="1" ht="20.25" customHeight="1" x14ac:dyDescent="0.2">
      <c r="A4" s="119" t="s">
        <v>50</v>
      </c>
      <c r="B4" s="120" t="s">
        <v>51</v>
      </c>
      <c r="C4" s="121"/>
      <c r="D4" s="122"/>
      <c r="E4" s="111" t="s">
        <v>2</v>
      </c>
      <c r="F4" s="111"/>
      <c r="G4" s="120" t="s">
        <v>84</v>
      </c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0" t="s">
        <v>37</v>
      </c>
      <c r="V4" s="122"/>
      <c r="W4" s="119" t="s">
        <v>4</v>
      </c>
      <c r="X4" s="119"/>
      <c r="Y4" s="111" t="s">
        <v>38</v>
      </c>
    </row>
    <row r="5" spans="1:25" s="44" customFormat="1" ht="16.5" customHeight="1" x14ac:dyDescent="0.2">
      <c r="A5" s="119"/>
      <c r="B5" s="108" t="s">
        <v>51</v>
      </c>
      <c r="C5" s="39" t="s">
        <v>52</v>
      </c>
      <c r="D5" s="108" t="s">
        <v>55</v>
      </c>
      <c r="E5" s="112" t="s">
        <v>39</v>
      </c>
      <c r="F5" s="115" t="s">
        <v>8</v>
      </c>
      <c r="G5" s="124" t="s">
        <v>58</v>
      </c>
      <c r="H5" s="127" t="s">
        <v>8</v>
      </c>
      <c r="I5" s="124" t="s">
        <v>59</v>
      </c>
      <c r="J5" s="115" t="s">
        <v>8</v>
      </c>
      <c r="K5" s="124" t="s">
        <v>60</v>
      </c>
      <c r="L5" s="115" t="s">
        <v>8</v>
      </c>
      <c r="M5" s="124" t="s">
        <v>61</v>
      </c>
      <c r="N5" s="115" t="s">
        <v>8</v>
      </c>
      <c r="O5" s="124" t="s">
        <v>62</v>
      </c>
      <c r="P5" s="115" t="s">
        <v>8</v>
      </c>
      <c r="Q5" s="124" t="s">
        <v>63</v>
      </c>
      <c r="R5" s="115" t="s">
        <v>8</v>
      </c>
      <c r="S5" s="124" t="s">
        <v>64</v>
      </c>
      <c r="T5" s="115" t="s">
        <v>8</v>
      </c>
      <c r="U5" s="112" t="s">
        <v>83</v>
      </c>
      <c r="V5" s="112" t="s">
        <v>8</v>
      </c>
      <c r="W5" s="112" t="s">
        <v>39</v>
      </c>
      <c r="X5" s="112" t="s">
        <v>8</v>
      </c>
      <c r="Y5" s="111"/>
    </row>
    <row r="6" spans="1:25" s="44" customFormat="1" ht="16.5" customHeight="1" x14ac:dyDescent="0.2">
      <c r="A6" s="119"/>
      <c r="B6" s="109"/>
      <c r="C6" s="40" t="s">
        <v>54</v>
      </c>
      <c r="D6" s="109"/>
      <c r="E6" s="113"/>
      <c r="F6" s="116"/>
      <c r="G6" s="125"/>
      <c r="H6" s="128"/>
      <c r="I6" s="125"/>
      <c r="J6" s="116"/>
      <c r="K6" s="125"/>
      <c r="L6" s="116"/>
      <c r="M6" s="125"/>
      <c r="N6" s="116"/>
      <c r="O6" s="125"/>
      <c r="P6" s="116"/>
      <c r="Q6" s="125"/>
      <c r="R6" s="116"/>
      <c r="S6" s="125"/>
      <c r="T6" s="116"/>
      <c r="U6" s="113"/>
      <c r="V6" s="113"/>
      <c r="W6" s="113"/>
      <c r="X6" s="113"/>
      <c r="Y6" s="111"/>
    </row>
    <row r="7" spans="1:25" s="44" customFormat="1" ht="16.5" customHeight="1" x14ac:dyDescent="0.2">
      <c r="A7" s="119"/>
      <c r="B7" s="110"/>
      <c r="C7" s="41" t="s">
        <v>53</v>
      </c>
      <c r="D7" s="110"/>
      <c r="E7" s="114"/>
      <c r="F7" s="117"/>
      <c r="G7" s="126"/>
      <c r="H7" s="129"/>
      <c r="I7" s="126"/>
      <c r="J7" s="117"/>
      <c r="K7" s="126"/>
      <c r="L7" s="117"/>
      <c r="M7" s="126"/>
      <c r="N7" s="117"/>
      <c r="O7" s="126"/>
      <c r="P7" s="117"/>
      <c r="Q7" s="126"/>
      <c r="R7" s="117"/>
      <c r="S7" s="126"/>
      <c r="T7" s="117"/>
      <c r="U7" s="114"/>
      <c r="V7" s="114"/>
      <c r="W7" s="114"/>
      <c r="X7" s="114"/>
      <c r="Y7" s="111"/>
    </row>
    <row r="8" spans="1:25" s="77" customFormat="1" ht="24" customHeight="1" x14ac:dyDescent="0.2">
      <c r="A8" s="71" t="s">
        <v>78</v>
      </c>
      <c r="B8" s="72">
        <f>SUM(B9:B11)</f>
        <v>233360500</v>
      </c>
      <c r="C8" s="72">
        <f>SUM(C9:C11)</f>
        <v>0</v>
      </c>
      <c r="D8" s="72">
        <f>SUM(B8-C8)</f>
        <v>233360500</v>
      </c>
      <c r="E8" s="72">
        <f>SUM(E9:E11)</f>
        <v>113482060.34</v>
      </c>
      <c r="F8" s="73">
        <f>E8/D8</f>
        <v>0.48629506853130672</v>
      </c>
      <c r="G8" s="74">
        <f>SUM(G9:G11)</f>
        <v>15460013.550000001</v>
      </c>
      <c r="H8" s="75">
        <f>G8/D8</f>
        <v>6.624948759537283E-2</v>
      </c>
      <c r="I8" s="74">
        <f>SUM(I9:I11)</f>
        <v>16070790.699999999</v>
      </c>
      <c r="J8" s="76">
        <f>I8/D8</f>
        <v>6.8866799222661923E-2</v>
      </c>
      <c r="K8" s="74">
        <f>SUM(K9:K11)</f>
        <v>17778511.149999999</v>
      </c>
      <c r="L8" s="76">
        <f>K8/D8</f>
        <v>7.6184749132779533E-2</v>
      </c>
      <c r="M8" s="74">
        <f>SUM(M9:M11)</f>
        <v>16708452.309999999</v>
      </c>
      <c r="N8" s="76">
        <f>M8/D8</f>
        <v>7.159931655100156E-2</v>
      </c>
      <c r="O8" s="74">
        <f>SUM(O9:O11)</f>
        <v>16493934.390000001</v>
      </c>
      <c r="P8" s="76">
        <f>O8/D8</f>
        <v>7.0680061064318941E-2</v>
      </c>
      <c r="Q8" s="74">
        <f>SUM(Q9:Q11)</f>
        <v>17832311.91</v>
      </c>
      <c r="R8" s="76">
        <f>Q8/D8</f>
        <v>7.6415296976137775E-2</v>
      </c>
      <c r="S8" s="74">
        <f>SUM(S9:S11)</f>
        <v>13138046.330000002</v>
      </c>
      <c r="T8" s="76">
        <f>S8/D8</f>
        <v>5.6299357989034141E-2</v>
      </c>
      <c r="U8" s="72">
        <f>SUM(U9:U11)</f>
        <v>113482060.34</v>
      </c>
      <c r="V8" s="73">
        <f>U8/D8</f>
        <v>0.48629506853130672</v>
      </c>
      <c r="W8" s="72">
        <f>SUM(W9:W11)</f>
        <v>119878439.66</v>
      </c>
      <c r="X8" s="73">
        <f t="shared" ref="X8:X26" si="0">W8/D8</f>
        <v>0.51370493146869323</v>
      </c>
      <c r="Y8" s="71"/>
    </row>
    <row r="9" spans="1:25" s="50" customFormat="1" ht="24" customHeight="1" x14ac:dyDescent="0.2">
      <c r="A9" s="47" t="s">
        <v>79</v>
      </c>
      <c r="B9" s="48">
        <v>187935100</v>
      </c>
      <c r="C9" s="59">
        <v>0</v>
      </c>
      <c r="D9" s="45">
        <f t="shared" ref="D9:D20" si="1">SUM(B9-C9)</f>
        <v>187935100</v>
      </c>
      <c r="E9" s="48">
        <v>88924256.269999996</v>
      </c>
      <c r="F9" s="49">
        <f t="shared" ref="F9:F20" si="2">E9/D9</f>
        <v>0.47316470563508356</v>
      </c>
      <c r="G9" s="61">
        <v>12040013.550000001</v>
      </c>
      <c r="H9" s="62">
        <f>G9/D9</f>
        <v>6.406474123247867E-2</v>
      </c>
      <c r="I9" s="61">
        <v>12442369.75</v>
      </c>
      <c r="J9" s="62">
        <f>I9/D9</f>
        <v>6.6205672862599901E-2</v>
      </c>
      <c r="K9" s="61">
        <v>13981647.15</v>
      </c>
      <c r="L9" s="62">
        <f>K9/D9</f>
        <v>7.4396146063188839E-2</v>
      </c>
      <c r="M9" s="61">
        <v>12993614.029999999</v>
      </c>
      <c r="N9" s="62">
        <f>M9/D9</f>
        <v>6.9138835853440897E-2</v>
      </c>
      <c r="O9" s="61">
        <v>12895054.939999999</v>
      </c>
      <c r="P9" s="62">
        <f>O9/D9</f>
        <v>6.8614404334262191E-2</v>
      </c>
      <c r="Q9" s="61">
        <v>13987830.720000001</v>
      </c>
      <c r="R9" s="62">
        <f>Q9/D9</f>
        <v>7.4429048751404076E-2</v>
      </c>
      <c r="S9" s="61">
        <v>10583726.130000001</v>
      </c>
      <c r="T9" s="62">
        <f>S9/D9</f>
        <v>5.6315856537709034E-2</v>
      </c>
      <c r="U9" s="48">
        <v>88924256.269999996</v>
      </c>
      <c r="V9" s="49">
        <f t="shared" ref="V9:V20" si="3">U9/D9</f>
        <v>0.47316470563508356</v>
      </c>
      <c r="W9" s="48">
        <f>SUM(D9-U9)</f>
        <v>99010843.730000004</v>
      </c>
      <c r="X9" s="49">
        <f t="shared" si="0"/>
        <v>0.52683529436491638</v>
      </c>
      <c r="Y9" s="47"/>
    </row>
    <row r="10" spans="1:25" s="50" customFormat="1" ht="24" customHeight="1" x14ac:dyDescent="0.2">
      <c r="A10" s="47" t="s">
        <v>80</v>
      </c>
      <c r="B10" s="48">
        <v>41160000</v>
      </c>
      <c r="C10" s="48">
        <v>0</v>
      </c>
      <c r="D10" s="45">
        <f t="shared" si="1"/>
        <v>41160000</v>
      </c>
      <c r="E10" s="48">
        <v>22888010.07</v>
      </c>
      <c r="F10" s="49">
        <f t="shared" si="2"/>
        <v>0.55607410276967928</v>
      </c>
      <c r="G10" s="61">
        <v>3420000</v>
      </c>
      <c r="H10" s="62">
        <f t="shared" ref="H10:H14" si="4">G10/D10</f>
        <v>8.3090379008746357E-2</v>
      </c>
      <c r="I10" s="61">
        <v>3436644.95</v>
      </c>
      <c r="J10" s="62">
        <f t="shared" ref="J10:J20" si="5">I10/D10</f>
        <v>8.3494775267249757E-2</v>
      </c>
      <c r="K10" s="61">
        <v>3373600</v>
      </c>
      <c r="L10" s="62">
        <f t="shared" ref="L10:L20" si="6">K10/D10</f>
        <v>8.196307094266278E-2</v>
      </c>
      <c r="M10" s="61">
        <v>3361161.28</v>
      </c>
      <c r="N10" s="62">
        <f t="shared" ref="N10:N20" si="7">M10/D10</f>
        <v>8.1660866861030121E-2</v>
      </c>
      <c r="O10" s="61">
        <v>3335253.45</v>
      </c>
      <c r="P10" s="62">
        <f t="shared" ref="P10:P20" si="8">O10/D10</f>
        <v>8.103142492711371E-2</v>
      </c>
      <c r="Q10" s="61">
        <v>3552447.19</v>
      </c>
      <c r="R10" s="62">
        <f t="shared" ref="R10:R20" si="9">Q10/D10</f>
        <v>8.6308240767735661E-2</v>
      </c>
      <c r="S10" s="61">
        <v>2408903.2000000002</v>
      </c>
      <c r="T10" s="62">
        <f t="shared" ref="T10:T20" si="10">S10/D10</f>
        <v>5.8525344995140921E-2</v>
      </c>
      <c r="U10" s="48">
        <v>22888010.07</v>
      </c>
      <c r="V10" s="49">
        <f t="shared" si="3"/>
        <v>0.55607410276967928</v>
      </c>
      <c r="W10" s="48">
        <f>SUM(D10-U10)</f>
        <v>18271989.93</v>
      </c>
      <c r="X10" s="49">
        <f t="shared" si="0"/>
        <v>0.44392589723032067</v>
      </c>
      <c r="Y10" s="47"/>
    </row>
    <row r="11" spans="1:25" s="50" customFormat="1" ht="24" customHeight="1" x14ac:dyDescent="0.2">
      <c r="A11" s="47" t="s">
        <v>41</v>
      </c>
      <c r="B11" s="48">
        <v>4265400</v>
      </c>
      <c r="C11" s="48">
        <v>0</v>
      </c>
      <c r="D11" s="45">
        <f t="shared" si="1"/>
        <v>4265400</v>
      </c>
      <c r="E11" s="81">
        <f>U11</f>
        <v>1669794</v>
      </c>
      <c r="F11" s="70">
        <f t="shared" si="2"/>
        <v>0.39147418764945846</v>
      </c>
      <c r="G11" s="61">
        <v>0</v>
      </c>
      <c r="H11" s="62">
        <f t="shared" si="4"/>
        <v>0</v>
      </c>
      <c r="I11" s="61">
        <v>191776</v>
      </c>
      <c r="J11" s="62">
        <f t="shared" si="5"/>
        <v>4.4960847751676282E-2</v>
      </c>
      <c r="K11" s="61">
        <v>423264</v>
      </c>
      <c r="L11" s="62">
        <f t="shared" si="6"/>
        <v>9.923195948797299E-2</v>
      </c>
      <c r="M11" s="61">
        <v>353677</v>
      </c>
      <c r="N11" s="62">
        <f t="shared" si="7"/>
        <v>8.2917663056219809E-2</v>
      </c>
      <c r="O11" s="61">
        <v>263626</v>
      </c>
      <c r="P11" s="62">
        <f t="shared" si="8"/>
        <v>6.1805692314905986E-2</v>
      </c>
      <c r="Q11" s="61">
        <v>292034</v>
      </c>
      <c r="R11" s="62">
        <f t="shared" si="9"/>
        <v>6.8465794532751909E-2</v>
      </c>
      <c r="S11" s="61">
        <v>145417</v>
      </c>
      <c r="T11" s="62">
        <f t="shared" si="10"/>
        <v>3.4092230505931451E-2</v>
      </c>
      <c r="U11" s="48">
        <f>SUM(G11+I11+K11+M11+O11+Q11+S11)</f>
        <v>1669794</v>
      </c>
      <c r="V11" s="49">
        <f t="shared" si="3"/>
        <v>0.39147418764945846</v>
      </c>
      <c r="W11" s="48">
        <f>SUM(D11-U11)</f>
        <v>2595606</v>
      </c>
      <c r="X11" s="49">
        <f t="shared" si="0"/>
        <v>0.6085258123505416</v>
      </c>
      <c r="Y11" s="47"/>
    </row>
    <row r="12" spans="1:25" s="77" customFormat="1" ht="24" customHeight="1" x14ac:dyDescent="0.2">
      <c r="A12" s="71" t="s">
        <v>40</v>
      </c>
      <c r="B12" s="72">
        <f>SUM(B13:B14)</f>
        <v>80870600</v>
      </c>
      <c r="C12" s="72">
        <f t="shared" ref="C12" si="11">SUM(C13:C14)</f>
        <v>0</v>
      </c>
      <c r="D12" s="72">
        <f t="shared" si="1"/>
        <v>80870600</v>
      </c>
      <c r="E12" s="72">
        <f>SUM(E13:E14)</f>
        <v>39328086.04999999</v>
      </c>
      <c r="F12" s="73">
        <f t="shared" si="2"/>
        <v>0.48630881989251951</v>
      </c>
      <c r="G12" s="74">
        <f>SUM(G13:G14)</f>
        <v>96324.63</v>
      </c>
      <c r="H12" s="76">
        <f t="shared" si="4"/>
        <v>1.1910957752261019E-3</v>
      </c>
      <c r="I12" s="74">
        <f>SUM(I13:I14)</f>
        <v>4729773.6899999995</v>
      </c>
      <c r="J12" s="76">
        <f t="shared" si="5"/>
        <v>5.8485700489423836E-2</v>
      </c>
      <c r="K12" s="74">
        <f>SUM(K13:K14)</f>
        <v>2914711.79</v>
      </c>
      <c r="L12" s="76">
        <f t="shared" si="6"/>
        <v>3.6041673859226964E-2</v>
      </c>
      <c r="M12" s="74">
        <f>SUM(M13:M14)</f>
        <v>5056473.1500000004</v>
      </c>
      <c r="N12" s="76">
        <f t="shared" si="7"/>
        <v>6.252548082986896E-2</v>
      </c>
      <c r="O12" s="74">
        <f>SUM(O13:O14)</f>
        <v>5089225.3499999996</v>
      </c>
      <c r="P12" s="76">
        <f t="shared" si="8"/>
        <v>6.293047597025371E-2</v>
      </c>
      <c r="Q12" s="74">
        <f>SUM(Q13:Q14)</f>
        <v>7187681.6200000001</v>
      </c>
      <c r="R12" s="76">
        <f t="shared" si="9"/>
        <v>8.8878796744428751E-2</v>
      </c>
      <c r="S12" s="74">
        <f>SUM(S13:S14)</f>
        <v>2657393.1</v>
      </c>
      <c r="T12" s="76">
        <f t="shared" si="10"/>
        <v>3.28598167937421E-2</v>
      </c>
      <c r="U12" s="72">
        <f>SUM(U13:U14)</f>
        <v>27731583.330000002</v>
      </c>
      <c r="V12" s="73">
        <f>U12/D12</f>
        <v>0.34291304046217047</v>
      </c>
      <c r="W12" s="72">
        <f>SUM(W13:W14)</f>
        <v>53139016.670000002</v>
      </c>
      <c r="X12" s="73">
        <f t="shared" si="0"/>
        <v>0.65708695953782958</v>
      </c>
      <c r="Y12" s="71"/>
    </row>
    <row r="13" spans="1:25" s="50" customFormat="1" ht="24" customHeight="1" x14ac:dyDescent="0.2">
      <c r="A13" s="47" t="s">
        <v>41</v>
      </c>
      <c r="B13" s="48">
        <v>72365900</v>
      </c>
      <c r="C13" s="48">
        <v>0</v>
      </c>
      <c r="D13" s="45">
        <f t="shared" si="1"/>
        <v>72365900</v>
      </c>
      <c r="E13" s="69">
        <f>ผลการก่อหนี้!F18</f>
        <v>36360160.679999992</v>
      </c>
      <c r="F13" s="70">
        <f t="shared" si="2"/>
        <v>0.50244881470416303</v>
      </c>
      <c r="G13" s="61">
        <v>87164.1</v>
      </c>
      <c r="H13" s="62">
        <f t="shared" si="4"/>
        <v>1.2044913419165658E-3</v>
      </c>
      <c r="I13" s="61">
        <f>SUM(4056740-I11)</f>
        <v>3864964</v>
      </c>
      <c r="J13" s="62">
        <f t="shared" si="5"/>
        <v>5.3408635835386555E-2</v>
      </c>
      <c r="K13" s="61">
        <f>SUM(3096119.44-K11)</f>
        <v>2672855.44</v>
      </c>
      <c r="L13" s="62">
        <f t="shared" si="6"/>
        <v>3.6935289134799675E-2</v>
      </c>
      <c r="M13" s="61">
        <f>SUM(4763631.95-M11)</f>
        <v>4409954.95</v>
      </c>
      <c r="N13" s="62">
        <f t="shared" si="7"/>
        <v>6.0939682226020822E-2</v>
      </c>
      <c r="O13" s="61">
        <f>SUM(4892212.51-O11)</f>
        <v>4628586.51</v>
      </c>
      <c r="P13" s="62">
        <f t="shared" si="8"/>
        <v>6.3960878120772349E-2</v>
      </c>
      <c r="Q13" s="61">
        <f>SUM(7053055.13-Q11)</f>
        <v>6761021.1299999999</v>
      </c>
      <c r="R13" s="62">
        <f t="shared" si="9"/>
        <v>9.3428273952234409E-2</v>
      </c>
      <c r="S13" s="61">
        <f>SUM(2484528.83-S11)</f>
        <v>2339111.83</v>
      </c>
      <c r="T13" s="62">
        <f t="shared" si="10"/>
        <v>3.2323398589667235E-2</v>
      </c>
      <c r="U13" s="48">
        <f>SUM(26433451.96-U11)</f>
        <v>24763657.960000001</v>
      </c>
      <c r="V13" s="46">
        <f t="shared" si="3"/>
        <v>0.34220064920079762</v>
      </c>
      <c r="W13" s="48">
        <f>SUM(D13-U13)</f>
        <v>47602242.039999999</v>
      </c>
      <c r="X13" s="49">
        <f t="shared" si="0"/>
        <v>0.65779935079920238</v>
      </c>
      <c r="Y13" s="47"/>
    </row>
    <row r="14" spans="1:25" s="50" customFormat="1" ht="24" customHeight="1" x14ac:dyDescent="0.2">
      <c r="A14" s="47" t="s">
        <v>42</v>
      </c>
      <c r="B14" s="48">
        <v>8504700</v>
      </c>
      <c r="C14" s="48">
        <v>0</v>
      </c>
      <c r="D14" s="45">
        <f t="shared" si="1"/>
        <v>8504700</v>
      </c>
      <c r="E14" s="48">
        <v>2967925.37</v>
      </c>
      <c r="F14" s="49">
        <f t="shared" si="2"/>
        <v>0.34897472809152585</v>
      </c>
      <c r="G14" s="61">
        <v>9160.5300000000007</v>
      </c>
      <c r="H14" s="62">
        <f t="shared" si="4"/>
        <v>1.0771138311757029E-3</v>
      </c>
      <c r="I14" s="61">
        <v>864809.69</v>
      </c>
      <c r="J14" s="62">
        <f t="shared" si="5"/>
        <v>0.10168609004432842</v>
      </c>
      <c r="K14" s="61">
        <v>241856.35</v>
      </c>
      <c r="L14" s="62">
        <f t="shared" si="6"/>
        <v>2.8437963714181572E-2</v>
      </c>
      <c r="M14" s="61">
        <v>646518.19999999995</v>
      </c>
      <c r="N14" s="62">
        <f t="shared" si="7"/>
        <v>7.601893070890213E-2</v>
      </c>
      <c r="O14" s="61">
        <v>460638.84</v>
      </c>
      <c r="P14" s="62">
        <f t="shared" si="8"/>
        <v>5.4162855832657238E-2</v>
      </c>
      <c r="Q14" s="61">
        <v>426660.49</v>
      </c>
      <c r="R14" s="62">
        <f t="shared" si="9"/>
        <v>5.0167612026291344E-2</v>
      </c>
      <c r="S14" s="61">
        <v>318281.27</v>
      </c>
      <c r="T14" s="62">
        <f t="shared" si="10"/>
        <v>3.7424161933989446E-2</v>
      </c>
      <c r="U14" s="48">
        <v>2967925.37</v>
      </c>
      <c r="V14" s="46">
        <f t="shared" si="3"/>
        <v>0.34897472809152585</v>
      </c>
      <c r="W14" s="48">
        <f>SUM(D14-U14)</f>
        <v>5536774.6299999999</v>
      </c>
      <c r="X14" s="49">
        <f t="shared" si="0"/>
        <v>0.65102527190847415</v>
      </c>
      <c r="Y14" s="47"/>
    </row>
    <row r="15" spans="1:25" s="77" customFormat="1" ht="24" customHeight="1" x14ac:dyDescent="0.2">
      <c r="A15" s="71" t="s">
        <v>43</v>
      </c>
      <c r="B15" s="72">
        <f>SUM(B16)</f>
        <v>2730770</v>
      </c>
      <c r="C15" s="72">
        <f t="shared" ref="C15:E15" si="12">SUM(C16)</f>
        <v>35071.43</v>
      </c>
      <c r="D15" s="72">
        <f t="shared" si="1"/>
        <v>2695698.57</v>
      </c>
      <c r="E15" s="72">
        <f t="shared" si="12"/>
        <v>2695698.57</v>
      </c>
      <c r="F15" s="73">
        <f t="shared" si="2"/>
        <v>1</v>
      </c>
      <c r="G15" s="74">
        <f>SUM(G16)</f>
        <v>0</v>
      </c>
      <c r="H15" s="76"/>
      <c r="I15" s="74">
        <f>SUM(I16)</f>
        <v>0</v>
      </c>
      <c r="J15" s="78"/>
      <c r="K15" s="74">
        <f>SUM(K16)</f>
        <v>390820</v>
      </c>
      <c r="L15" s="76">
        <f t="shared" si="6"/>
        <v>0.14497911760215831</v>
      </c>
      <c r="M15" s="74">
        <f>SUM(M16)</f>
        <v>349000</v>
      </c>
      <c r="N15" s="76">
        <f t="shared" si="7"/>
        <v>0.12946551364606021</v>
      </c>
      <c r="O15" s="74">
        <f>SUM(O16)</f>
        <v>1058279</v>
      </c>
      <c r="P15" s="76">
        <f t="shared" si="8"/>
        <v>0.39258061408549844</v>
      </c>
      <c r="Q15" s="74">
        <f>SUM(Q16)</f>
        <v>0</v>
      </c>
      <c r="R15" s="78"/>
      <c r="S15" s="74">
        <f>SUM(S16)</f>
        <v>0</v>
      </c>
      <c r="T15" s="78"/>
      <c r="U15" s="72">
        <f>SUM(U16)</f>
        <v>1798099</v>
      </c>
      <c r="V15" s="73">
        <f>U15/D15</f>
        <v>0.66702524533371699</v>
      </c>
      <c r="W15" s="72">
        <f>SUM(D15-U15)</f>
        <v>897599.56999999983</v>
      </c>
      <c r="X15" s="73">
        <f t="shared" si="0"/>
        <v>0.33297475466628301</v>
      </c>
      <c r="Y15" s="71"/>
    </row>
    <row r="16" spans="1:25" s="50" customFormat="1" ht="24" customHeight="1" x14ac:dyDescent="0.2">
      <c r="A16" s="47" t="s">
        <v>81</v>
      </c>
      <c r="B16" s="48">
        <f>SUM(B17:B18)</f>
        <v>2730770</v>
      </c>
      <c r="C16" s="48">
        <f t="shared" ref="C16:E16" si="13">SUM(C17:C18)</f>
        <v>35071.43</v>
      </c>
      <c r="D16" s="45">
        <f t="shared" si="1"/>
        <v>2695698.57</v>
      </c>
      <c r="E16" s="48">
        <f t="shared" si="13"/>
        <v>2695698.57</v>
      </c>
      <c r="F16" s="49">
        <f t="shared" si="2"/>
        <v>1</v>
      </c>
      <c r="G16" s="61">
        <f>SUM(G17:G18)</f>
        <v>0</v>
      </c>
      <c r="H16" s="62"/>
      <c r="I16" s="61">
        <f>SUM(I17:I18)</f>
        <v>0</v>
      </c>
      <c r="J16" s="62"/>
      <c r="K16" s="61">
        <f>SUM(K17:K18)</f>
        <v>390820</v>
      </c>
      <c r="L16" s="62">
        <f t="shared" si="6"/>
        <v>0.14497911760215831</v>
      </c>
      <c r="M16" s="61">
        <f>SUM(M17:M18)</f>
        <v>349000</v>
      </c>
      <c r="N16" s="62">
        <f t="shared" si="7"/>
        <v>0.12946551364606021</v>
      </c>
      <c r="O16" s="61">
        <f>SUM(O17:O18)</f>
        <v>1058279</v>
      </c>
      <c r="P16" s="62">
        <f t="shared" si="8"/>
        <v>0.39258061408549844</v>
      </c>
      <c r="Q16" s="61">
        <f>SUM(Q17:Q18)</f>
        <v>0</v>
      </c>
      <c r="R16" s="62"/>
      <c r="S16" s="61">
        <f>SUM(S17:S18)</f>
        <v>0</v>
      </c>
      <c r="T16" s="62"/>
      <c r="U16" s="51">
        <f>SUM(U17:U18)</f>
        <v>1798099</v>
      </c>
      <c r="V16" s="46">
        <f t="shared" si="3"/>
        <v>0.66702524533371699</v>
      </c>
      <c r="W16" s="51">
        <f>SUM(D16-U16)</f>
        <v>897599.56999999983</v>
      </c>
      <c r="X16" s="49">
        <f t="shared" si="0"/>
        <v>0.33297475466628301</v>
      </c>
      <c r="Y16" s="47"/>
    </row>
    <row r="17" spans="1:25" s="50" customFormat="1" ht="24" customHeight="1" x14ac:dyDescent="0.2">
      <c r="A17" s="47" t="s">
        <v>56</v>
      </c>
      <c r="B17" s="48">
        <v>1800770</v>
      </c>
      <c r="C17" s="48">
        <v>2671</v>
      </c>
      <c r="D17" s="45">
        <f t="shared" si="1"/>
        <v>1798099</v>
      </c>
      <c r="E17" s="51">
        <v>1798099</v>
      </c>
      <c r="F17" s="49">
        <f t="shared" si="2"/>
        <v>1</v>
      </c>
      <c r="G17" s="61">
        <v>0</v>
      </c>
      <c r="H17" s="62"/>
      <c r="I17" s="61">
        <v>0</v>
      </c>
      <c r="J17" s="62"/>
      <c r="K17" s="61">
        <v>390820</v>
      </c>
      <c r="L17" s="62">
        <f t="shared" si="6"/>
        <v>0.21735176984137136</v>
      </c>
      <c r="M17" s="61">
        <v>349000</v>
      </c>
      <c r="N17" s="62">
        <f t="shared" si="7"/>
        <v>0.19409387358538099</v>
      </c>
      <c r="O17" s="61">
        <v>1058279</v>
      </c>
      <c r="P17" s="62">
        <f t="shared" si="8"/>
        <v>0.58855435657324762</v>
      </c>
      <c r="Q17" s="61">
        <v>0</v>
      </c>
      <c r="R17" s="62"/>
      <c r="S17" s="61">
        <v>0</v>
      </c>
      <c r="T17" s="62"/>
      <c r="U17" s="51">
        <v>1798099</v>
      </c>
      <c r="V17" s="46">
        <f t="shared" si="3"/>
        <v>1</v>
      </c>
      <c r="W17" s="51">
        <f>SUM(U17-D17)</f>
        <v>0</v>
      </c>
      <c r="X17" s="49">
        <f t="shared" si="0"/>
        <v>0</v>
      </c>
      <c r="Y17" s="47"/>
    </row>
    <row r="18" spans="1:25" s="50" customFormat="1" ht="24" customHeight="1" x14ac:dyDescent="0.2">
      <c r="A18" s="47" t="s">
        <v>57</v>
      </c>
      <c r="B18" s="48">
        <v>930000</v>
      </c>
      <c r="C18" s="48">
        <v>32400.43</v>
      </c>
      <c r="D18" s="45">
        <f t="shared" si="1"/>
        <v>897599.57</v>
      </c>
      <c r="E18" s="51">
        <v>897599.57</v>
      </c>
      <c r="F18" s="49">
        <f t="shared" si="2"/>
        <v>1</v>
      </c>
      <c r="G18" s="61">
        <v>0</v>
      </c>
      <c r="H18" s="62"/>
      <c r="I18" s="61">
        <v>0</v>
      </c>
      <c r="J18" s="62"/>
      <c r="K18" s="61">
        <v>0</v>
      </c>
      <c r="L18" s="62"/>
      <c r="M18" s="61">
        <v>0</v>
      </c>
      <c r="N18" s="62"/>
      <c r="O18" s="61">
        <v>0</v>
      </c>
      <c r="P18" s="62"/>
      <c r="Q18" s="61">
        <v>0</v>
      </c>
      <c r="R18" s="62"/>
      <c r="S18" s="61">
        <v>0</v>
      </c>
      <c r="T18" s="62"/>
      <c r="U18" s="51">
        <v>0</v>
      </c>
      <c r="V18" s="46">
        <f t="shared" si="3"/>
        <v>0</v>
      </c>
      <c r="W18" s="51">
        <f>SUM(D18-U18)</f>
        <v>897599.57</v>
      </c>
      <c r="X18" s="49">
        <f t="shared" si="0"/>
        <v>1</v>
      </c>
      <c r="Y18" s="47"/>
    </row>
    <row r="19" spans="1:25" s="77" customFormat="1" ht="24" customHeight="1" x14ac:dyDescent="0.2">
      <c r="A19" s="71" t="s">
        <v>44</v>
      </c>
      <c r="B19" s="72">
        <v>11958600</v>
      </c>
      <c r="C19" s="72">
        <v>0</v>
      </c>
      <c r="D19" s="72">
        <f>SUM(B19-C19)</f>
        <v>11958600</v>
      </c>
      <c r="E19" s="79">
        <v>5807209</v>
      </c>
      <c r="F19" s="73">
        <f t="shared" si="2"/>
        <v>0.485609435887144</v>
      </c>
      <c r="G19" s="74">
        <v>0</v>
      </c>
      <c r="H19" s="76"/>
      <c r="I19" s="74">
        <v>355900</v>
      </c>
      <c r="J19" s="78">
        <f t="shared" si="5"/>
        <v>2.976100881374074E-2</v>
      </c>
      <c r="K19" s="74">
        <v>2318532</v>
      </c>
      <c r="L19" s="78">
        <f t="shared" si="6"/>
        <v>0.19387988560533842</v>
      </c>
      <c r="M19" s="74">
        <v>1103140</v>
      </c>
      <c r="N19" s="78">
        <f t="shared" si="7"/>
        <v>9.2246584048299968E-2</v>
      </c>
      <c r="O19" s="74">
        <v>1049066</v>
      </c>
      <c r="P19" s="78">
        <f t="shared" si="8"/>
        <v>8.7724817286304421E-2</v>
      </c>
      <c r="Q19" s="74">
        <v>980571</v>
      </c>
      <c r="R19" s="78">
        <f t="shared" si="9"/>
        <v>8.1997140133460433E-2</v>
      </c>
      <c r="S19" s="74">
        <v>0</v>
      </c>
      <c r="T19" s="78"/>
      <c r="U19" s="79">
        <v>5807209</v>
      </c>
      <c r="V19" s="73">
        <f t="shared" si="3"/>
        <v>0.485609435887144</v>
      </c>
      <c r="W19" s="79">
        <f>SUM(D19-U19)</f>
        <v>6151391</v>
      </c>
      <c r="X19" s="73">
        <f t="shared" si="0"/>
        <v>0.514390564112856</v>
      </c>
      <c r="Y19" s="71"/>
    </row>
    <row r="20" spans="1:25" s="77" customFormat="1" ht="24" customHeight="1" x14ac:dyDescent="0.2">
      <c r="A20" s="71" t="s">
        <v>45</v>
      </c>
      <c r="B20" s="72">
        <v>37143710</v>
      </c>
      <c r="C20" s="72">
        <v>47300</v>
      </c>
      <c r="D20" s="72">
        <f t="shared" si="1"/>
        <v>37096410</v>
      </c>
      <c r="E20" s="79">
        <v>3621944</v>
      </c>
      <c r="F20" s="73">
        <f t="shared" si="2"/>
        <v>9.7635970704442826E-2</v>
      </c>
      <c r="G20" s="74">
        <v>0</v>
      </c>
      <c r="H20" s="76"/>
      <c r="I20" s="74">
        <v>116085</v>
      </c>
      <c r="J20" s="78">
        <f t="shared" si="5"/>
        <v>3.1292785474389571E-3</v>
      </c>
      <c r="K20" s="74">
        <v>290178</v>
      </c>
      <c r="L20" s="78">
        <f t="shared" si="6"/>
        <v>7.8222663594671293E-3</v>
      </c>
      <c r="M20" s="74">
        <v>1032335</v>
      </c>
      <c r="N20" s="78">
        <f t="shared" si="7"/>
        <v>2.782843407219189E-2</v>
      </c>
      <c r="O20" s="74">
        <v>864760</v>
      </c>
      <c r="P20" s="78">
        <f t="shared" si="8"/>
        <v>2.3311150593817567E-2</v>
      </c>
      <c r="Q20" s="74">
        <v>765932</v>
      </c>
      <c r="R20" s="78">
        <f t="shared" si="9"/>
        <v>2.0647065309015077E-2</v>
      </c>
      <c r="S20" s="74">
        <v>552654</v>
      </c>
      <c r="T20" s="78">
        <f t="shared" si="10"/>
        <v>1.4897775822512206E-2</v>
      </c>
      <c r="U20" s="79">
        <v>3621944</v>
      </c>
      <c r="V20" s="73">
        <f t="shared" si="3"/>
        <v>9.7635970704442826E-2</v>
      </c>
      <c r="W20" s="79">
        <f>SUM(D20-U20)</f>
        <v>33474466</v>
      </c>
      <c r="X20" s="73">
        <f t="shared" si="0"/>
        <v>0.90236402929555715</v>
      </c>
      <c r="Y20" s="71" t="s">
        <v>82</v>
      </c>
    </row>
    <row r="21" spans="1:25" s="44" customFormat="1" ht="24" customHeight="1" x14ac:dyDescent="0.2">
      <c r="A21" s="52" t="s">
        <v>46</v>
      </c>
      <c r="B21" s="53">
        <f>SUM(B8+B12+B15+B19+B20)</f>
        <v>366064180</v>
      </c>
      <c r="C21" s="53">
        <f t="shared" ref="C21:E21" si="14">SUM(C8+C12+C15+C19+C20)</f>
        <v>82371.429999999993</v>
      </c>
      <c r="D21" s="53">
        <f>SUM(D8+D12+D15+D19+D20)</f>
        <v>365981808.56999999</v>
      </c>
      <c r="E21" s="53">
        <f t="shared" si="14"/>
        <v>164934997.95999998</v>
      </c>
      <c r="F21" s="54">
        <f>E21/D21</f>
        <v>0.45066447046767211</v>
      </c>
      <c r="G21" s="63">
        <f>SUM(G8+G12+G15+G19+G20)</f>
        <v>15556338.180000002</v>
      </c>
      <c r="H21" s="64">
        <f>G21/D21</f>
        <v>4.2505768909070242E-2</v>
      </c>
      <c r="I21" s="63">
        <f>SUM(I8+I12+I15+I19+I20)</f>
        <v>21272549.390000001</v>
      </c>
      <c r="J21" s="64">
        <f>I21/D21</f>
        <v>5.8124608633194616E-2</v>
      </c>
      <c r="K21" s="63">
        <f>SUM(K8+K12+K15+K19+K20)</f>
        <v>23692752.939999998</v>
      </c>
      <c r="L21" s="64">
        <f>K21/D21</f>
        <v>6.4737515322345243E-2</v>
      </c>
      <c r="M21" s="63">
        <f>SUM(M8+M12+M15+M19+M20)</f>
        <v>24249400.460000001</v>
      </c>
      <c r="N21" s="64">
        <f>M21/D21</f>
        <v>6.6258485783076582E-2</v>
      </c>
      <c r="O21" s="63">
        <f>SUM(O8+O12+O15+O19+O20)</f>
        <v>24555264.740000002</v>
      </c>
      <c r="P21" s="64">
        <f>O21/D21</f>
        <v>6.7094222076077334E-2</v>
      </c>
      <c r="Q21" s="63">
        <f>SUM(Q8+Q12+Q15+Q19+Q20)</f>
        <v>26766496.530000001</v>
      </c>
      <c r="R21" s="64">
        <f>Q21/D21</f>
        <v>7.3136139292236085E-2</v>
      </c>
      <c r="S21" s="63">
        <f>SUM(S8+S12+S15+S19+S20)</f>
        <v>16348093.430000002</v>
      </c>
      <c r="T21" s="64">
        <f>S21/D21</f>
        <v>4.4669142146372999E-2</v>
      </c>
      <c r="U21" s="53">
        <f>SUM(U12+U15+U19+U20+U8)</f>
        <v>152440895.67000002</v>
      </c>
      <c r="V21" s="54">
        <f>U21/D21</f>
        <v>0.41652588216237313</v>
      </c>
      <c r="W21" s="53">
        <f>SUM(W12+W15+W19+W20+W8)</f>
        <v>213540912.90000001</v>
      </c>
      <c r="X21" s="54">
        <f t="shared" si="0"/>
        <v>0.58347411783762693</v>
      </c>
      <c r="Y21" s="55"/>
    </row>
    <row r="22" spans="1:25" s="77" customFormat="1" ht="24" customHeight="1" x14ac:dyDescent="0.2">
      <c r="A22" s="71" t="s">
        <v>47</v>
      </c>
      <c r="B22" s="72">
        <f>SUM(B23:B25)</f>
        <v>8977896</v>
      </c>
      <c r="C22" s="72">
        <f t="shared" ref="C22:E22" si="15">SUM(C23:C25)</f>
        <v>0</v>
      </c>
      <c r="D22" s="72">
        <f>SUM(B22-C22)</f>
        <v>8977896</v>
      </c>
      <c r="E22" s="72">
        <f t="shared" si="15"/>
        <v>7724923.3600000003</v>
      </c>
      <c r="F22" s="73">
        <f>E22/D22</f>
        <v>0.86043805363751158</v>
      </c>
      <c r="G22" s="74">
        <f>SUM(G23:G25)</f>
        <v>0</v>
      </c>
      <c r="H22" s="76"/>
      <c r="I22" s="74">
        <f>SUM(I23:I25)</f>
        <v>0</v>
      </c>
      <c r="J22" s="76"/>
      <c r="K22" s="74">
        <f>SUM(K23:K25)</f>
        <v>0</v>
      </c>
      <c r="L22" s="76"/>
      <c r="M22" s="74">
        <f>SUM(M23:M25)</f>
        <v>0</v>
      </c>
      <c r="N22" s="76"/>
      <c r="O22" s="74">
        <f>SUM(O23:O25)</f>
        <v>18407.740000000002</v>
      </c>
      <c r="P22" s="76">
        <f>O22/8071486</f>
        <v>2.2805887292624929E-3</v>
      </c>
      <c r="Q22" s="74">
        <f>SUM(Q23:Q25)</f>
        <v>7645685.6200000001</v>
      </c>
      <c r="R22" s="76">
        <f>Q22/8071486</f>
        <v>0.94724634596405177</v>
      </c>
      <c r="S22" s="74">
        <f>SUM(S23:S25)</f>
        <v>60830</v>
      </c>
      <c r="T22" s="76">
        <f>S22/8977896</f>
        <v>6.7755295895608504E-3</v>
      </c>
      <c r="U22" s="79">
        <f>SUM(U23:U25)</f>
        <v>7724923.3600000003</v>
      </c>
      <c r="V22" s="73">
        <f>U22/D22</f>
        <v>0.86043805363751158</v>
      </c>
      <c r="W22" s="72">
        <f>SUM(D22-U22)</f>
        <v>1252972.6399999997</v>
      </c>
      <c r="X22" s="73">
        <f t="shared" si="0"/>
        <v>0.13956194636248845</v>
      </c>
      <c r="Y22" s="71"/>
    </row>
    <row r="23" spans="1:25" s="50" customFormat="1" ht="24" customHeight="1" x14ac:dyDescent="0.2">
      <c r="A23" s="47" t="s">
        <v>66</v>
      </c>
      <c r="B23" s="48">
        <v>906410</v>
      </c>
      <c r="C23" s="48">
        <v>0</v>
      </c>
      <c r="D23" s="45">
        <f t="shared" ref="D23:D25" si="16">SUM(B23-C23)</f>
        <v>906410</v>
      </c>
      <c r="E23" s="51">
        <v>0</v>
      </c>
      <c r="F23" s="49">
        <f t="shared" ref="F23:F25" si="17">E23/D23</f>
        <v>0</v>
      </c>
      <c r="G23" s="61">
        <v>0</v>
      </c>
      <c r="H23" s="62"/>
      <c r="I23" s="61">
        <v>0</v>
      </c>
      <c r="J23" s="62"/>
      <c r="K23" s="61">
        <v>0</v>
      </c>
      <c r="L23" s="62"/>
      <c r="M23" s="61">
        <v>0</v>
      </c>
      <c r="N23" s="62"/>
      <c r="O23" s="61">
        <v>0</v>
      </c>
      <c r="P23" s="62"/>
      <c r="Q23" s="61">
        <v>0</v>
      </c>
      <c r="R23" s="62"/>
      <c r="S23" s="61"/>
      <c r="T23" s="62"/>
      <c r="U23" s="51">
        <v>0</v>
      </c>
      <c r="V23" s="46">
        <f t="shared" ref="V23:V25" si="18">U23/D23</f>
        <v>0</v>
      </c>
      <c r="W23" s="48">
        <f>SUM(D23-U23)</f>
        <v>906410</v>
      </c>
      <c r="X23" s="49">
        <f t="shared" si="0"/>
        <v>1</v>
      </c>
      <c r="Y23" s="47"/>
    </row>
    <row r="24" spans="1:25" s="50" customFormat="1" ht="24" customHeight="1" x14ac:dyDescent="0.2">
      <c r="A24" s="47" t="s">
        <v>67</v>
      </c>
      <c r="B24" s="48">
        <v>446180</v>
      </c>
      <c r="C24" s="48">
        <v>0</v>
      </c>
      <c r="D24" s="45">
        <f t="shared" si="16"/>
        <v>446180</v>
      </c>
      <c r="E24" s="51">
        <v>99617.74</v>
      </c>
      <c r="F24" s="49">
        <f t="shared" si="17"/>
        <v>0.22326805325205076</v>
      </c>
      <c r="G24" s="61">
        <v>0</v>
      </c>
      <c r="H24" s="62"/>
      <c r="I24" s="61">
        <v>0</v>
      </c>
      <c r="J24" s="62"/>
      <c r="K24" s="61">
        <v>0</v>
      </c>
      <c r="L24" s="62"/>
      <c r="M24" s="61">
        <v>0</v>
      </c>
      <c r="N24" s="62"/>
      <c r="O24" s="61">
        <v>18407.740000000002</v>
      </c>
      <c r="P24" s="62">
        <f>O24/446180</f>
        <v>4.1256309112914072E-2</v>
      </c>
      <c r="Q24" s="61">
        <v>20380</v>
      </c>
      <c r="R24" s="62">
        <f>Q24/446180</f>
        <v>4.5676632749114709E-2</v>
      </c>
      <c r="S24" s="61">
        <v>60830</v>
      </c>
      <c r="T24" s="62">
        <f>S24/446180</f>
        <v>0.13633511139002197</v>
      </c>
      <c r="U24" s="51">
        <v>99617.74</v>
      </c>
      <c r="V24" s="46">
        <f>U24/D24</f>
        <v>0.22326805325205076</v>
      </c>
      <c r="W24" s="48">
        <f>SUM(D24-U24)</f>
        <v>346562.26</v>
      </c>
      <c r="X24" s="49">
        <f t="shared" si="0"/>
        <v>0.77673194674794932</v>
      </c>
      <c r="Y24" s="47"/>
    </row>
    <row r="25" spans="1:25" s="50" customFormat="1" ht="24" customHeight="1" x14ac:dyDescent="0.2">
      <c r="A25" s="47" t="s">
        <v>65</v>
      </c>
      <c r="B25" s="48">
        <v>7625306</v>
      </c>
      <c r="C25" s="48">
        <v>0</v>
      </c>
      <c r="D25" s="45">
        <f t="shared" si="16"/>
        <v>7625306</v>
      </c>
      <c r="E25" s="51">
        <v>7625305.6200000001</v>
      </c>
      <c r="F25" s="49">
        <f t="shared" si="17"/>
        <v>0.99999995016593435</v>
      </c>
      <c r="G25" s="61">
        <v>0</v>
      </c>
      <c r="H25" s="62"/>
      <c r="I25" s="61">
        <v>0</v>
      </c>
      <c r="J25" s="62"/>
      <c r="K25" s="61">
        <v>0</v>
      </c>
      <c r="L25" s="62"/>
      <c r="M25" s="61">
        <v>0</v>
      </c>
      <c r="N25" s="62"/>
      <c r="O25" s="61">
        <v>0</v>
      </c>
      <c r="P25" s="62"/>
      <c r="Q25" s="61">
        <v>7625305.6200000001</v>
      </c>
      <c r="R25" s="62">
        <f>Q25/7625306</f>
        <v>0.99999995016593435</v>
      </c>
      <c r="S25" s="61">
        <v>0</v>
      </c>
      <c r="T25" s="62"/>
      <c r="U25" s="51">
        <v>7625305.6200000001</v>
      </c>
      <c r="V25" s="46">
        <f t="shared" si="18"/>
        <v>0.99999995016593435</v>
      </c>
      <c r="W25" s="48">
        <f>SUM(D25-U25)</f>
        <v>0.37999999988824129</v>
      </c>
      <c r="X25" s="49">
        <f t="shared" si="0"/>
        <v>4.9834065660872005E-8</v>
      </c>
      <c r="Y25" s="47"/>
    </row>
    <row r="26" spans="1:25" s="44" customFormat="1" ht="24" customHeight="1" x14ac:dyDescent="0.2">
      <c r="A26" s="52" t="s">
        <v>48</v>
      </c>
      <c r="B26" s="53">
        <f>SUM(B21:B22)</f>
        <v>375042076</v>
      </c>
      <c r="C26" s="53">
        <f t="shared" ref="C26:E26" si="19">SUM(C21:C22)</f>
        <v>82371.429999999993</v>
      </c>
      <c r="D26" s="53">
        <f>SUM(D21:D22)</f>
        <v>374959704.56999999</v>
      </c>
      <c r="E26" s="53">
        <f t="shared" si="19"/>
        <v>172659921.31999999</v>
      </c>
      <c r="F26" s="54">
        <f>E26/D26</f>
        <v>0.46047593705570217</v>
      </c>
      <c r="G26" s="63">
        <f>SUM(G21:G22)</f>
        <v>15556338.180000002</v>
      </c>
      <c r="H26" s="64"/>
      <c r="I26" s="63">
        <f>SUM(I21:I22)</f>
        <v>21272549.390000001</v>
      </c>
      <c r="J26" s="64"/>
      <c r="K26" s="63">
        <f>SUM(K21:K22)</f>
        <v>23692752.939999998</v>
      </c>
      <c r="L26" s="64"/>
      <c r="M26" s="63">
        <f>SUM(M21:M22)</f>
        <v>24249400.460000001</v>
      </c>
      <c r="N26" s="64"/>
      <c r="O26" s="63">
        <f>SUM(O21:O22)</f>
        <v>24573672.48</v>
      </c>
      <c r="P26" s="64"/>
      <c r="Q26" s="63">
        <f>SUM(Q21:Q22)</f>
        <v>34412182.149999999</v>
      </c>
      <c r="R26" s="64"/>
      <c r="S26" s="63">
        <f>SUM(S21:S22)</f>
        <v>16408923.430000002</v>
      </c>
      <c r="T26" s="64"/>
      <c r="U26" s="53">
        <f>SUM(U21:U22)</f>
        <v>160165819.03000003</v>
      </c>
      <c r="V26" s="54">
        <f>U26/D26</f>
        <v>0.42715475043825463</v>
      </c>
      <c r="W26" s="53">
        <f>SUM(W21:W22)</f>
        <v>214793885.53999999</v>
      </c>
      <c r="X26" s="54">
        <f t="shared" si="0"/>
        <v>0.57284524956174543</v>
      </c>
      <c r="Y26" s="55"/>
    </row>
    <row r="27" spans="1:25" ht="16.5" customHeight="1" x14ac:dyDescent="0.3"/>
    <row r="28" spans="1:25" ht="18.75" customHeight="1" x14ac:dyDescent="0.3">
      <c r="A28" s="43" t="s">
        <v>89</v>
      </c>
    </row>
    <row r="29" spans="1:25" ht="18.75" customHeight="1" x14ac:dyDescent="0.3">
      <c r="A29" s="43" t="s">
        <v>90</v>
      </c>
    </row>
    <row r="30" spans="1:25" ht="18.75" customHeight="1" x14ac:dyDescent="0.3">
      <c r="A30" s="43" t="s">
        <v>86</v>
      </c>
      <c r="W30" s="43" t="s">
        <v>49</v>
      </c>
    </row>
  </sheetData>
  <mergeCells count="32">
    <mergeCell ref="V5:V7"/>
    <mergeCell ref="U5:U7"/>
    <mergeCell ref="G5:G7"/>
    <mergeCell ref="H5:H7"/>
    <mergeCell ref="I5:I7"/>
    <mergeCell ref="J5:J7"/>
    <mergeCell ref="K5:K7"/>
    <mergeCell ref="L5:L7"/>
    <mergeCell ref="S5:S7"/>
    <mergeCell ref="T5:T7"/>
    <mergeCell ref="M5:M7"/>
    <mergeCell ref="N5:N7"/>
    <mergeCell ref="O5:O7"/>
    <mergeCell ref="P5:P7"/>
    <mergeCell ref="Q5:Q7"/>
    <mergeCell ref="R5:R7"/>
    <mergeCell ref="D5:D7"/>
    <mergeCell ref="E4:F4"/>
    <mergeCell ref="E5:E7"/>
    <mergeCell ref="F5:F7"/>
    <mergeCell ref="A1:Y1"/>
    <mergeCell ref="A2:Y2"/>
    <mergeCell ref="A3:Y3"/>
    <mergeCell ref="A4:A7"/>
    <mergeCell ref="W4:X4"/>
    <mergeCell ref="Y4:Y7"/>
    <mergeCell ref="B4:D4"/>
    <mergeCell ref="B5:B7"/>
    <mergeCell ref="G4:T4"/>
    <mergeCell ref="U4:V4"/>
    <mergeCell ref="W5:W7"/>
    <mergeCell ref="X5:X7"/>
  </mergeCells>
  <phoneticPr fontId="11" type="noConversion"/>
  <printOptions horizontalCentered="1"/>
  <pageMargins left="0.19685039370078741" right="0.19685039370078741" top="0.19685039370078741" bottom="0.19685039370078741" header="0.31496062992125984" footer="0.31496062992125984"/>
  <pageSetup paperSize="14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012CB-6E7B-493E-BF3B-EF9179EF927A}">
  <dimension ref="A1:Y26"/>
  <sheetViews>
    <sheetView workbookViewId="0">
      <selection activeCell="Z12" sqref="Z12:Z13"/>
    </sheetView>
  </sheetViews>
  <sheetFormatPr defaultRowHeight="18.75" x14ac:dyDescent="0.3"/>
  <cols>
    <col min="1" max="1" width="33.75" style="43" customWidth="1"/>
    <col min="2" max="2" width="13.75" style="43" bestFit="1" customWidth="1"/>
    <col min="3" max="3" width="21.625" style="43" customWidth="1"/>
    <col min="4" max="4" width="13.75" style="43" customWidth="1"/>
    <col min="5" max="5" width="13.75" style="43" bestFit="1" customWidth="1"/>
    <col min="6" max="6" width="8" style="68" bestFit="1" customWidth="1"/>
    <col min="7" max="7" width="11.375" style="60" hidden="1" customWidth="1"/>
    <col min="8" max="8" width="5.625" style="67" hidden="1" customWidth="1"/>
    <col min="9" max="9" width="11.375" style="60" hidden="1" customWidth="1"/>
    <col min="10" max="10" width="6.375" style="68" hidden="1" customWidth="1"/>
    <col min="11" max="11" width="11.375" style="60" hidden="1" customWidth="1"/>
    <col min="12" max="12" width="6.375" style="68" hidden="1" customWidth="1"/>
    <col min="13" max="13" width="11.375" style="60" hidden="1" customWidth="1"/>
    <col min="14" max="14" width="6.375" style="68" hidden="1" customWidth="1"/>
    <col min="15" max="15" width="11.375" style="60" hidden="1" customWidth="1"/>
    <col min="16" max="16" width="6.375" style="68" hidden="1" customWidth="1"/>
    <col min="17" max="17" width="11.375" style="60" hidden="1" customWidth="1"/>
    <col min="18" max="18" width="7.125" style="68" hidden="1" customWidth="1"/>
    <col min="19" max="19" width="11.375" style="60" hidden="1" customWidth="1"/>
    <col min="20" max="20" width="6.375" style="68" hidden="1" customWidth="1"/>
    <col min="21" max="21" width="13.75" style="43" bestFit="1" customWidth="1"/>
    <col min="22" max="22" width="8" style="43" bestFit="1" customWidth="1"/>
    <col min="23" max="23" width="14.75" style="43" customWidth="1"/>
    <col min="24" max="24" width="7.75" style="43" bestFit="1" customWidth="1"/>
    <col min="25" max="25" width="13" style="43" customWidth="1"/>
    <col min="26" max="16384" width="9" style="43"/>
  </cols>
  <sheetData>
    <row r="1" spans="1:25" s="42" customFormat="1" x14ac:dyDescent="0.3">
      <c r="A1" s="118" t="s">
        <v>35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s="42" customFormat="1" x14ac:dyDescent="0.3">
      <c r="A2" s="118" t="s">
        <v>85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</row>
    <row r="3" spans="1:25" s="42" customFormat="1" x14ac:dyDescent="0.3">
      <c r="A3" s="118" t="s">
        <v>36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</row>
    <row r="4" spans="1:25" s="44" customFormat="1" ht="20.25" customHeight="1" x14ac:dyDescent="0.2">
      <c r="A4" s="119" t="s">
        <v>50</v>
      </c>
      <c r="B4" s="120" t="s">
        <v>51</v>
      </c>
      <c r="C4" s="121"/>
      <c r="D4" s="122"/>
      <c r="E4" s="111" t="s">
        <v>2</v>
      </c>
      <c r="F4" s="111"/>
      <c r="G4" s="120" t="s">
        <v>84</v>
      </c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0" t="s">
        <v>37</v>
      </c>
      <c r="V4" s="122"/>
      <c r="W4" s="119" t="s">
        <v>4</v>
      </c>
      <c r="X4" s="119"/>
      <c r="Y4" s="111" t="s">
        <v>38</v>
      </c>
    </row>
    <row r="5" spans="1:25" s="44" customFormat="1" ht="16.5" customHeight="1" x14ac:dyDescent="0.2">
      <c r="A5" s="119"/>
      <c r="B5" s="108" t="s">
        <v>51</v>
      </c>
      <c r="C5" s="39" t="s">
        <v>52</v>
      </c>
      <c r="D5" s="108" t="s">
        <v>55</v>
      </c>
      <c r="E5" s="112" t="s">
        <v>39</v>
      </c>
      <c r="F5" s="115" t="s">
        <v>8</v>
      </c>
      <c r="G5" s="124" t="s">
        <v>58</v>
      </c>
      <c r="H5" s="127" t="s">
        <v>8</v>
      </c>
      <c r="I5" s="124" t="s">
        <v>59</v>
      </c>
      <c r="J5" s="115" t="s">
        <v>8</v>
      </c>
      <c r="K5" s="124" t="s">
        <v>60</v>
      </c>
      <c r="L5" s="115" t="s">
        <v>8</v>
      </c>
      <c r="M5" s="124" t="s">
        <v>61</v>
      </c>
      <c r="N5" s="115" t="s">
        <v>8</v>
      </c>
      <c r="O5" s="124" t="s">
        <v>62</v>
      </c>
      <c r="P5" s="115" t="s">
        <v>8</v>
      </c>
      <c r="Q5" s="124" t="s">
        <v>63</v>
      </c>
      <c r="R5" s="115" t="s">
        <v>8</v>
      </c>
      <c r="S5" s="124" t="s">
        <v>64</v>
      </c>
      <c r="T5" s="115" t="s">
        <v>8</v>
      </c>
      <c r="U5" s="112" t="s">
        <v>83</v>
      </c>
      <c r="V5" s="112" t="s">
        <v>8</v>
      </c>
      <c r="W5" s="112" t="s">
        <v>39</v>
      </c>
      <c r="X5" s="112" t="s">
        <v>8</v>
      </c>
      <c r="Y5" s="111"/>
    </row>
    <row r="6" spans="1:25" s="44" customFormat="1" ht="16.5" customHeight="1" x14ac:dyDescent="0.2">
      <c r="A6" s="119"/>
      <c r="B6" s="109"/>
      <c r="C6" s="40" t="s">
        <v>54</v>
      </c>
      <c r="D6" s="109"/>
      <c r="E6" s="113"/>
      <c r="F6" s="116"/>
      <c r="G6" s="125"/>
      <c r="H6" s="128"/>
      <c r="I6" s="125"/>
      <c r="J6" s="116"/>
      <c r="K6" s="125"/>
      <c r="L6" s="116"/>
      <c r="M6" s="125"/>
      <c r="N6" s="116"/>
      <c r="O6" s="125"/>
      <c r="P6" s="116"/>
      <c r="Q6" s="125"/>
      <c r="R6" s="116"/>
      <c r="S6" s="125"/>
      <c r="T6" s="116"/>
      <c r="U6" s="113"/>
      <c r="V6" s="113"/>
      <c r="W6" s="113"/>
      <c r="X6" s="113"/>
      <c r="Y6" s="111"/>
    </row>
    <row r="7" spans="1:25" s="44" customFormat="1" ht="16.5" customHeight="1" x14ac:dyDescent="0.2">
      <c r="A7" s="119"/>
      <c r="B7" s="110"/>
      <c r="C7" s="41" t="s">
        <v>53</v>
      </c>
      <c r="D7" s="110"/>
      <c r="E7" s="114"/>
      <c r="F7" s="117"/>
      <c r="G7" s="126"/>
      <c r="H7" s="129"/>
      <c r="I7" s="126"/>
      <c r="J7" s="117"/>
      <c r="K7" s="126"/>
      <c r="L7" s="117"/>
      <c r="M7" s="126"/>
      <c r="N7" s="117"/>
      <c r="O7" s="126"/>
      <c r="P7" s="117"/>
      <c r="Q7" s="126"/>
      <c r="R7" s="117"/>
      <c r="S7" s="126"/>
      <c r="T7" s="117"/>
      <c r="U7" s="114"/>
      <c r="V7" s="114"/>
      <c r="W7" s="114"/>
      <c r="X7" s="114"/>
      <c r="Y7" s="111"/>
    </row>
    <row r="8" spans="1:25" s="77" customFormat="1" ht="24" customHeight="1" x14ac:dyDescent="0.2">
      <c r="A8" s="71" t="s">
        <v>40</v>
      </c>
      <c r="B8" s="72">
        <f>SUM(B9:B10)</f>
        <v>80870600</v>
      </c>
      <c r="C8" s="72">
        <f t="shared" ref="C8" si="0">SUM(C9:C10)</f>
        <v>0</v>
      </c>
      <c r="D8" s="72">
        <f t="shared" ref="D8:D16" si="1">SUM(B8-C8)</f>
        <v>80870600</v>
      </c>
      <c r="E8" s="72">
        <f>SUM(E9:E10)</f>
        <v>39328086.04999999</v>
      </c>
      <c r="F8" s="73">
        <f t="shared" ref="F8:F16" si="2">E8/D8</f>
        <v>0.48630881989251951</v>
      </c>
      <c r="G8" s="74">
        <f>SUM(G9:G10)</f>
        <v>96324.63</v>
      </c>
      <c r="H8" s="76">
        <f t="shared" ref="H8:H10" si="3">G8/D8</f>
        <v>1.1910957752261019E-3</v>
      </c>
      <c r="I8" s="74" t="e">
        <f>SUM(I9:I10)</f>
        <v>#REF!</v>
      </c>
      <c r="J8" s="76" t="e">
        <f t="shared" ref="J8:J16" si="4">I8/D8</f>
        <v>#REF!</v>
      </c>
      <c r="K8" s="74" t="e">
        <f>SUM(K9:K10)</f>
        <v>#REF!</v>
      </c>
      <c r="L8" s="76" t="e">
        <f t="shared" ref="L8:L16" si="5">K8/D8</f>
        <v>#REF!</v>
      </c>
      <c r="M8" s="74" t="e">
        <f>SUM(M9:M10)</f>
        <v>#REF!</v>
      </c>
      <c r="N8" s="76" t="e">
        <f t="shared" ref="N8:N16" si="6">M8/D8</f>
        <v>#REF!</v>
      </c>
      <c r="O8" s="74" t="e">
        <f>SUM(O9:O10)</f>
        <v>#REF!</v>
      </c>
      <c r="P8" s="76" t="e">
        <f t="shared" ref="P8:P16" si="7">O8/D8</f>
        <v>#REF!</v>
      </c>
      <c r="Q8" s="74" t="e">
        <f>SUM(Q9:Q10)</f>
        <v>#REF!</v>
      </c>
      <c r="R8" s="76" t="e">
        <f t="shared" ref="R8:R16" si="8">Q8/D8</f>
        <v>#REF!</v>
      </c>
      <c r="S8" s="74" t="e">
        <f>SUM(S9:S10)</f>
        <v>#REF!</v>
      </c>
      <c r="T8" s="76" t="e">
        <f t="shared" ref="T8:T16" si="9">S8/D8</f>
        <v>#REF!</v>
      </c>
      <c r="U8" s="72">
        <v>27731583.329999998</v>
      </c>
      <c r="V8" s="73">
        <f>U8/D8</f>
        <v>0.34291304046217042</v>
      </c>
      <c r="W8" s="72">
        <f>SUM(W9:W10)</f>
        <v>53139016.670000002</v>
      </c>
      <c r="X8" s="73">
        <f t="shared" ref="X8:X22" si="10">W8/D8</f>
        <v>0.65708695953782958</v>
      </c>
      <c r="Y8" s="71"/>
    </row>
    <row r="9" spans="1:25" s="50" customFormat="1" ht="24" customHeight="1" x14ac:dyDescent="0.2">
      <c r="A9" s="47" t="s">
        <v>41</v>
      </c>
      <c r="B9" s="48">
        <v>72365900</v>
      </c>
      <c r="C9" s="48">
        <v>0</v>
      </c>
      <c r="D9" s="45">
        <f t="shared" si="1"/>
        <v>72365900</v>
      </c>
      <c r="E9" s="69">
        <f>ผลการก่อหนี้!F18</f>
        <v>36360160.679999992</v>
      </c>
      <c r="F9" s="70">
        <f t="shared" si="2"/>
        <v>0.50244881470416303</v>
      </c>
      <c r="G9" s="61">
        <v>87164.1</v>
      </c>
      <c r="H9" s="62">
        <f t="shared" si="3"/>
        <v>1.2044913419165658E-3</v>
      </c>
      <c r="I9" s="61" t="e">
        <f>SUM(4056740-#REF!)</f>
        <v>#REF!</v>
      </c>
      <c r="J9" s="62" t="e">
        <f t="shared" si="4"/>
        <v>#REF!</v>
      </c>
      <c r="K9" s="61" t="e">
        <f>SUM(3096119.44-#REF!)</f>
        <v>#REF!</v>
      </c>
      <c r="L9" s="62" t="e">
        <f t="shared" si="5"/>
        <v>#REF!</v>
      </c>
      <c r="M9" s="61" t="e">
        <f>SUM(4763631.95-#REF!)</f>
        <v>#REF!</v>
      </c>
      <c r="N9" s="62" t="e">
        <f t="shared" si="6"/>
        <v>#REF!</v>
      </c>
      <c r="O9" s="61" t="e">
        <f>SUM(4892212.51-#REF!)</f>
        <v>#REF!</v>
      </c>
      <c r="P9" s="62" t="e">
        <f t="shared" si="7"/>
        <v>#REF!</v>
      </c>
      <c r="Q9" s="61" t="e">
        <f>SUM(7053055.13-#REF!)</f>
        <v>#REF!</v>
      </c>
      <c r="R9" s="62" t="e">
        <f t="shared" si="8"/>
        <v>#REF!</v>
      </c>
      <c r="S9" s="61" t="e">
        <f>SUM(2484528.83-#REF!)</f>
        <v>#REF!</v>
      </c>
      <c r="T9" s="62" t="e">
        <f t="shared" si="9"/>
        <v>#REF!</v>
      </c>
      <c r="U9" s="48">
        <v>24763657.960000001</v>
      </c>
      <c r="V9" s="46">
        <f t="shared" ref="V9:V16" si="11">U9/D9</f>
        <v>0.34220064920079762</v>
      </c>
      <c r="W9" s="48">
        <f>SUM(D9-U9)</f>
        <v>47602242.039999999</v>
      </c>
      <c r="X9" s="49">
        <f t="shared" si="10"/>
        <v>0.65779935079920238</v>
      </c>
      <c r="Y9" s="47"/>
    </row>
    <row r="10" spans="1:25" s="50" customFormat="1" ht="24" customHeight="1" x14ac:dyDescent="0.2">
      <c r="A10" s="47" t="s">
        <v>42</v>
      </c>
      <c r="B10" s="48">
        <v>8504700</v>
      </c>
      <c r="C10" s="48">
        <v>0</v>
      </c>
      <c r="D10" s="45">
        <f t="shared" si="1"/>
        <v>8504700</v>
      </c>
      <c r="E10" s="48">
        <v>2967925.37</v>
      </c>
      <c r="F10" s="49">
        <f t="shared" si="2"/>
        <v>0.34897472809152585</v>
      </c>
      <c r="G10" s="61">
        <v>9160.5300000000007</v>
      </c>
      <c r="H10" s="62">
        <f t="shared" si="3"/>
        <v>1.0771138311757029E-3</v>
      </c>
      <c r="I10" s="61">
        <v>864809.69</v>
      </c>
      <c r="J10" s="62">
        <f t="shared" si="4"/>
        <v>0.10168609004432842</v>
      </c>
      <c r="K10" s="61">
        <v>241856.35</v>
      </c>
      <c r="L10" s="62">
        <f t="shared" si="5"/>
        <v>2.8437963714181572E-2</v>
      </c>
      <c r="M10" s="61">
        <v>646518.19999999995</v>
      </c>
      <c r="N10" s="62">
        <f t="shared" si="6"/>
        <v>7.601893070890213E-2</v>
      </c>
      <c r="O10" s="61">
        <v>460638.84</v>
      </c>
      <c r="P10" s="62">
        <f t="shared" si="7"/>
        <v>5.4162855832657238E-2</v>
      </c>
      <c r="Q10" s="61">
        <v>426660.49</v>
      </c>
      <c r="R10" s="62">
        <f t="shared" si="8"/>
        <v>5.0167612026291344E-2</v>
      </c>
      <c r="S10" s="61">
        <v>318281.27</v>
      </c>
      <c r="T10" s="62">
        <f t="shared" si="9"/>
        <v>3.7424161933989446E-2</v>
      </c>
      <c r="U10" s="48">
        <v>2967925.37</v>
      </c>
      <c r="V10" s="46">
        <f t="shared" si="11"/>
        <v>0.34897472809152585</v>
      </c>
      <c r="W10" s="48">
        <f>SUM(D10-U10)</f>
        <v>5536774.6299999999</v>
      </c>
      <c r="X10" s="49">
        <f t="shared" si="10"/>
        <v>0.65102527190847415</v>
      </c>
      <c r="Y10" s="47"/>
    </row>
    <row r="11" spans="1:25" s="77" customFormat="1" ht="24" customHeight="1" x14ac:dyDescent="0.2">
      <c r="A11" s="71" t="s">
        <v>43</v>
      </c>
      <c r="B11" s="72">
        <f>SUM(B12)</f>
        <v>2730770</v>
      </c>
      <c r="C11" s="72">
        <f t="shared" ref="C11:E11" si="12">SUM(C12)</f>
        <v>35071.43</v>
      </c>
      <c r="D11" s="72">
        <f t="shared" si="1"/>
        <v>2695698.57</v>
      </c>
      <c r="E11" s="72">
        <f t="shared" si="12"/>
        <v>2695698.57</v>
      </c>
      <c r="F11" s="73">
        <f t="shared" si="2"/>
        <v>1</v>
      </c>
      <c r="G11" s="74">
        <f>SUM(G12)</f>
        <v>0</v>
      </c>
      <c r="H11" s="76"/>
      <c r="I11" s="74">
        <f>SUM(I12)</f>
        <v>0</v>
      </c>
      <c r="J11" s="78"/>
      <c r="K11" s="74">
        <f>SUM(K12)</f>
        <v>390820</v>
      </c>
      <c r="L11" s="76">
        <f t="shared" si="5"/>
        <v>0.14497911760215831</v>
      </c>
      <c r="M11" s="74">
        <f>SUM(M12)</f>
        <v>349000</v>
      </c>
      <c r="N11" s="76">
        <f t="shared" si="6"/>
        <v>0.12946551364606021</v>
      </c>
      <c r="O11" s="74">
        <f>SUM(O12)</f>
        <v>1058279</v>
      </c>
      <c r="P11" s="76">
        <f t="shared" si="7"/>
        <v>0.39258061408549844</v>
      </c>
      <c r="Q11" s="74">
        <f>SUM(Q12)</f>
        <v>0</v>
      </c>
      <c r="R11" s="78"/>
      <c r="S11" s="74">
        <f>SUM(S12)</f>
        <v>0</v>
      </c>
      <c r="T11" s="78"/>
      <c r="U11" s="72">
        <f>SUM(U12)</f>
        <v>1798099</v>
      </c>
      <c r="V11" s="73">
        <f>U11/D11</f>
        <v>0.66702524533371699</v>
      </c>
      <c r="W11" s="72">
        <f>SUM(D11-U11)</f>
        <v>897599.56999999983</v>
      </c>
      <c r="X11" s="73">
        <f t="shared" si="10"/>
        <v>0.33297475466628301</v>
      </c>
      <c r="Y11" s="71"/>
    </row>
    <row r="12" spans="1:25" s="50" customFormat="1" ht="24" customHeight="1" x14ac:dyDescent="0.2">
      <c r="A12" s="47" t="s">
        <v>81</v>
      </c>
      <c r="B12" s="48">
        <f>SUM(B13:B14)</f>
        <v>2730770</v>
      </c>
      <c r="C12" s="48">
        <f t="shared" ref="C12:E12" si="13">SUM(C13:C14)</f>
        <v>35071.43</v>
      </c>
      <c r="D12" s="45">
        <f t="shared" si="1"/>
        <v>2695698.57</v>
      </c>
      <c r="E12" s="48">
        <f t="shared" si="13"/>
        <v>2695698.57</v>
      </c>
      <c r="F12" s="49">
        <f t="shared" si="2"/>
        <v>1</v>
      </c>
      <c r="G12" s="61">
        <f>SUM(G13:G14)</f>
        <v>0</v>
      </c>
      <c r="H12" s="62"/>
      <c r="I12" s="61">
        <f>SUM(I13:I14)</f>
        <v>0</v>
      </c>
      <c r="J12" s="62"/>
      <c r="K12" s="61">
        <f>SUM(K13:K14)</f>
        <v>390820</v>
      </c>
      <c r="L12" s="62">
        <f t="shared" si="5"/>
        <v>0.14497911760215831</v>
      </c>
      <c r="M12" s="61">
        <f>SUM(M13:M14)</f>
        <v>349000</v>
      </c>
      <c r="N12" s="62">
        <f t="shared" si="6"/>
        <v>0.12946551364606021</v>
      </c>
      <c r="O12" s="61">
        <f>SUM(O13:O14)</f>
        <v>1058279</v>
      </c>
      <c r="P12" s="62">
        <f t="shared" si="7"/>
        <v>0.39258061408549844</v>
      </c>
      <c r="Q12" s="61">
        <f>SUM(Q13:Q14)</f>
        <v>0</v>
      </c>
      <c r="R12" s="62"/>
      <c r="S12" s="61">
        <f>SUM(S13:S14)</f>
        <v>0</v>
      </c>
      <c r="T12" s="62"/>
      <c r="U12" s="51">
        <f>SUM(U13:U14)</f>
        <v>1798099</v>
      </c>
      <c r="V12" s="46">
        <f t="shared" si="11"/>
        <v>0.66702524533371699</v>
      </c>
      <c r="W12" s="51">
        <f>SUM(D12-U12)</f>
        <v>897599.56999999983</v>
      </c>
      <c r="X12" s="49">
        <f t="shared" si="10"/>
        <v>0.33297475466628301</v>
      </c>
      <c r="Y12" s="47"/>
    </row>
    <row r="13" spans="1:25" s="50" customFormat="1" ht="24" customHeight="1" x14ac:dyDescent="0.2">
      <c r="A13" s="47" t="s">
        <v>56</v>
      </c>
      <c r="B13" s="48">
        <v>1800770</v>
      </c>
      <c r="C13" s="48">
        <v>2671</v>
      </c>
      <c r="D13" s="45">
        <f t="shared" si="1"/>
        <v>1798099</v>
      </c>
      <c r="E13" s="51">
        <v>1798099</v>
      </c>
      <c r="F13" s="49">
        <f t="shared" si="2"/>
        <v>1</v>
      </c>
      <c r="G13" s="61">
        <v>0</v>
      </c>
      <c r="H13" s="62"/>
      <c r="I13" s="61">
        <v>0</v>
      </c>
      <c r="J13" s="62"/>
      <c r="K13" s="61">
        <v>390820</v>
      </c>
      <c r="L13" s="62">
        <f t="shared" si="5"/>
        <v>0.21735176984137136</v>
      </c>
      <c r="M13" s="61">
        <v>349000</v>
      </c>
      <c r="N13" s="62">
        <f t="shared" si="6"/>
        <v>0.19409387358538099</v>
      </c>
      <c r="O13" s="61">
        <v>1058279</v>
      </c>
      <c r="P13" s="62">
        <f t="shared" si="7"/>
        <v>0.58855435657324762</v>
      </c>
      <c r="Q13" s="61">
        <v>0</v>
      </c>
      <c r="R13" s="62"/>
      <c r="S13" s="61">
        <v>0</v>
      </c>
      <c r="T13" s="62"/>
      <c r="U13" s="51">
        <v>1798099</v>
      </c>
      <c r="V13" s="46">
        <f t="shared" si="11"/>
        <v>1</v>
      </c>
      <c r="W13" s="51">
        <f>SUM(U13-D13)</f>
        <v>0</v>
      </c>
      <c r="X13" s="49">
        <f t="shared" si="10"/>
        <v>0</v>
      </c>
      <c r="Y13" s="47"/>
    </row>
    <row r="14" spans="1:25" s="50" customFormat="1" ht="24" customHeight="1" x14ac:dyDescent="0.2">
      <c r="A14" s="47" t="s">
        <v>57</v>
      </c>
      <c r="B14" s="48">
        <v>930000</v>
      </c>
      <c r="C14" s="48">
        <v>32400.43</v>
      </c>
      <c r="D14" s="45">
        <f t="shared" si="1"/>
        <v>897599.57</v>
      </c>
      <c r="E14" s="51">
        <v>897599.57</v>
      </c>
      <c r="F14" s="49">
        <f t="shared" si="2"/>
        <v>1</v>
      </c>
      <c r="G14" s="61">
        <v>0</v>
      </c>
      <c r="H14" s="62"/>
      <c r="I14" s="61">
        <v>0</v>
      </c>
      <c r="J14" s="62"/>
      <c r="K14" s="61">
        <v>0</v>
      </c>
      <c r="L14" s="62"/>
      <c r="M14" s="61">
        <v>0</v>
      </c>
      <c r="N14" s="62"/>
      <c r="O14" s="61">
        <v>0</v>
      </c>
      <c r="P14" s="62"/>
      <c r="Q14" s="61">
        <v>0</v>
      </c>
      <c r="R14" s="62"/>
      <c r="S14" s="61">
        <v>0</v>
      </c>
      <c r="T14" s="62"/>
      <c r="U14" s="51">
        <v>0</v>
      </c>
      <c r="V14" s="46">
        <f t="shared" si="11"/>
        <v>0</v>
      </c>
      <c r="W14" s="51">
        <f>SUM(D14-U14)</f>
        <v>897599.57</v>
      </c>
      <c r="X14" s="49">
        <f t="shared" si="10"/>
        <v>1</v>
      </c>
      <c r="Y14" s="47"/>
    </row>
    <row r="15" spans="1:25" s="77" customFormat="1" ht="24" customHeight="1" x14ac:dyDescent="0.2">
      <c r="A15" s="71" t="s">
        <v>44</v>
      </c>
      <c r="B15" s="72">
        <v>11958600</v>
      </c>
      <c r="C15" s="72">
        <v>0</v>
      </c>
      <c r="D15" s="72">
        <f>SUM(B15-C15)</f>
        <v>11958600</v>
      </c>
      <c r="E15" s="79">
        <v>5807209</v>
      </c>
      <c r="F15" s="73">
        <f t="shared" si="2"/>
        <v>0.485609435887144</v>
      </c>
      <c r="G15" s="74">
        <v>0</v>
      </c>
      <c r="H15" s="76"/>
      <c r="I15" s="74">
        <v>355900</v>
      </c>
      <c r="J15" s="78">
        <f t="shared" si="4"/>
        <v>2.976100881374074E-2</v>
      </c>
      <c r="K15" s="74">
        <v>2318532</v>
      </c>
      <c r="L15" s="78">
        <f t="shared" si="5"/>
        <v>0.19387988560533842</v>
      </c>
      <c r="M15" s="74">
        <v>1103140</v>
      </c>
      <c r="N15" s="78">
        <f t="shared" si="6"/>
        <v>9.2246584048299968E-2</v>
      </c>
      <c r="O15" s="74">
        <v>1049066</v>
      </c>
      <c r="P15" s="78">
        <f t="shared" si="7"/>
        <v>8.7724817286304421E-2</v>
      </c>
      <c r="Q15" s="74">
        <v>980571</v>
      </c>
      <c r="R15" s="78">
        <f t="shared" si="8"/>
        <v>8.1997140133460433E-2</v>
      </c>
      <c r="S15" s="74">
        <v>0</v>
      </c>
      <c r="T15" s="78"/>
      <c r="U15" s="79">
        <v>5807209</v>
      </c>
      <c r="V15" s="73">
        <f t="shared" si="11"/>
        <v>0.485609435887144</v>
      </c>
      <c r="W15" s="79">
        <f>SUM(D15-U15)</f>
        <v>6151391</v>
      </c>
      <c r="X15" s="73">
        <f t="shared" si="10"/>
        <v>0.514390564112856</v>
      </c>
      <c r="Y15" s="71"/>
    </row>
    <row r="16" spans="1:25" s="77" customFormat="1" ht="24" customHeight="1" x14ac:dyDescent="0.2">
      <c r="A16" s="71" t="s">
        <v>45</v>
      </c>
      <c r="B16" s="72">
        <v>37143710</v>
      </c>
      <c r="C16" s="72">
        <v>47300</v>
      </c>
      <c r="D16" s="72">
        <f t="shared" si="1"/>
        <v>37096410</v>
      </c>
      <c r="E16" s="79">
        <v>3621944</v>
      </c>
      <c r="F16" s="73">
        <f t="shared" si="2"/>
        <v>9.7635970704442826E-2</v>
      </c>
      <c r="G16" s="74">
        <v>0</v>
      </c>
      <c r="H16" s="76"/>
      <c r="I16" s="74">
        <v>116085</v>
      </c>
      <c r="J16" s="78">
        <f t="shared" si="4"/>
        <v>3.1292785474389571E-3</v>
      </c>
      <c r="K16" s="74">
        <v>290178</v>
      </c>
      <c r="L16" s="78">
        <f t="shared" si="5"/>
        <v>7.8222663594671293E-3</v>
      </c>
      <c r="M16" s="74">
        <v>1032335</v>
      </c>
      <c r="N16" s="78">
        <f t="shared" si="6"/>
        <v>2.782843407219189E-2</v>
      </c>
      <c r="O16" s="74">
        <v>864760</v>
      </c>
      <c r="P16" s="78">
        <f t="shared" si="7"/>
        <v>2.3311150593817567E-2</v>
      </c>
      <c r="Q16" s="74">
        <v>765932</v>
      </c>
      <c r="R16" s="78">
        <f t="shared" si="8"/>
        <v>2.0647065309015077E-2</v>
      </c>
      <c r="S16" s="74">
        <v>552654</v>
      </c>
      <c r="T16" s="78">
        <f t="shared" si="9"/>
        <v>1.4897775822512206E-2</v>
      </c>
      <c r="U16" s="79">
        <v>3621944</v>
      </c>
      <c r="V16" s="73">
        <f t="shared" si="11"/>
        <v>9.7635970704442826E-2</v>
      </c>
      <c r="W16" s="79">
        <f>SUM(D16-U16)</f>
        <v>33474466</v>
      </c>
      <c r="X16" s="73">
        <f t="shared" si="10"/>
        <v>0.90236402929555715</v>
      </c>
      <c r="Y16" s="71" t="s">
        <v>82</v>
      </c>
    </row>
    <row r="17" spans="1:25" s="44" customFormat="1" ht="24" customHeight="1" x14ac:dyDescent="0.2">
      <c r="A17" s="52" t="s">
        <v>46</v>
      </c>
      <c r="B17" s="53">
        <f>SUM(B8+B11+B15+B16)</f>
        <v>132703680</v>
      </c>
      <c r="C17" s="53">
        <f>SUM(C8+C11+C15+C16)</f>
        <v>82371.429999999993</v>
      </c>
      <c r="D17" s="53">
        <f t="shared" ref="D17:W17" si="14">SUM(D8+D11+D15+D16)</f>
        <v>132621308.56999999</v>
      </c>
      <c r="E17" s="53">
        <f t="shared" si="14"/>
        <v>51452937.61999999</v>
      </c>
      <c r="F17" s="54">
        <f>E17/D17</f>
        <v>0.38796885790673807</v>
      </c>
      <c r="G17" s="53">
        <f t="shared" si="14"/>
        <v>96324.63</v>
      </c>
      <c r="H17" s="53">
        <f t="shared" si="14"/>
        <v>1.1910957752261019E-3</v>
      </c>
      <c r="I17" s="53" t="e">
        <f t="shared" si="14"/>
        <v>#REF!</v>
      </c>
      <c r="J17" s="53" t="e">
        <f t="shared" si="14"/>
        <v>#REF!</v>
      </c>
      <c r="K17" s="53" t="e">
        <f t="shared" si="14"/>
        <v>#REF!</v>
      </c>
      <c r="L17" s="53" t="e">
        <f t="shared" si="14"/>
        <v>#REF!</v>
      </c>
      <c r="M17" s="53" t="e">
        <f t="shared" si="14"/>
        <v>#REF!</v>
      </c>
      <c r="N17" s="53" t="e">
        <f t="shared" si="14"/>
        <v>#REF!</v>
      </c>
      <c r="O17" s="53" t="e">
        <f t="shared" si="14"/>
        <v>#REF!</v>
      </c>
      <c r="P17" s="53" t="e">
        <f t="shared" si="14"/>
        <v>#REF!</v>
      </c>
      <c r="Q17" s="53" t="e">
        <f t="shared" si="14"/>
        <v>#REF!</v>
      </c>
      <c r="R17" s="53" t="e">
        <f t="shared" si="14"/>
        <v>#REF!</v>
      </c>
      <c r="S17" s="53" t="e">
        <f t="shared" si="14"/>
        <v>#REF!</v>
      </c>
      <c r="T17" s="53" t="e">
        <f t="shared" si="14"/>
        <v>#REF!</v>
      </c>
      <c r="U17" s="53">
        <f t="shared" si="14"/>
        <v>38958835.329999998</v>
      </c>
      <c r="V17" s="54">
        <f>U17/D17</f>
        <v>0.29375999792248164</v>
      </c>
      <c r="W17" s="53">
        <f t="shared" si="14"/>
        <v>93662473.24000001</v>
      </c>
      <c r="X17" s="54">
        <f t="shared" si="10"/>
        <v>0.70624000207751847</v>
      </c>
      <c r="Y17" s="55"/>
    </row>
    <row r="18" spans="1:25" s="77" customFormat="1" ht="24" customHeight="1" x14ac:dyDescent="0.2">
      <c r="A18" s="71" t="s">
        <v>47</v>
      </c>
      <c r="B18" s="72">
        <f>SUM(B19:B21)</f>
        <v>8977896</v>
      </c>
      <c r="C18" s="72">
        <f t="shared" ref="C18:E18" si="15">SUM(C19:C21)</f>
        <v>0</v>
      </c>
      <c r="D18" s="72">
        <f>SUM(B18-C18)</f>
        <v>8977896</v>
      </c>
      <c r="E18" s="72">
        <f t="shared" si="15"/>
        <v>7724923.3600000003</v>
      </c>
      <c r="F18" s="73">
        <f>E18/D18</f>
        <v>0.86043805363751158</v>
      </c>
      <c r="G18" s="74">
        <f>SUM(G19:G21)</f>
        <v>0</v>
      </c>
      <c r="H18" s="76"/>
      <c r="I18" s="74">
        <f>SUM(I19:I21)</f>
        <v>0</v>
      </c>
      <c r="J18" s="76"/>
      <c r="K18" s="74">
        <f>SUM(K19:K21)</f>
        <v>0</v>
      </c>
      <c r="L18" s="76"/>
      <c r="M18" s="74">
        <f>SUM(M19:M21)</f>
        <v>0</v>
      </c>
      <c r="N18" s="76"/>
      <c r="O18" s="74">
        <f>SUM(O19:O21)</f>
        <v>18407.740000000002</v>
      </c>
      <c r="P18" s="76">
        <f>O18/8071486</f>
        <v>2.2805887292624929E-3</v>
      </c>
      <c r="Q18" s="74">
        <f>SUM(Q19:Q21)</f>
        <v>7645685.6200000001</v>
      </c>
      <c r="R18" s="76">
        <f>Q18/8071486</f>
        <v>0.94724634596405177</v>
      </c>
      <c r="S18" s="74">
        <f>SUM(S19:S21)</f>
        <v>60830</v>
      </c>
      <c r="T18" s="76">
        <f>S18/8977896</f>
        <v>6.7755295895608504E-3</v>
      </c>
      <c r="U18" s="79">
        <f>SUM(U19:U21)</f>
        <v>7724923.3600000003</v>
      </c>
      <c r="V18" s="73">
        <f>U18/D18</f>
        <v>0.86043805363751158</v>
      </c>
      <c r="W18" s="72">
        <f>SUM(D18-U18)</f>
        <v>1252972.6399999997</v>
      </c>
      <c r="X18" s="73">
        <f t="shared" si="10"/>
        <v>0.13956194636248845</v>
      </c>
      <c r="Y18" s="71"/>
    </row>
    <row r="19" spans="1:25" s="50" customFormat="1" ht="24" customHeight="1" x14ac:dyDescent="0.2">
      <c r="A19" s="47" t="s">
        <v>66</v>
      </c>
      <c r="B19" s="48">
        <v>906410</v>
      </c>
      <c r="C19" s="48">
        <v>0</v>
      </c>
      <c r="D19" s="45">
        <f t="shared" ref="D19:D21" si="16">SUM(B19-C19)</f>
        <v>906410</v>
      </c>
      <c r="E19" s="51">
        <v>0</v>
      </c>
      <c r="F19" s="49">
        <f t="shared" ref="F19:F21" si="17">E19/D19</f>
        <v>0</v>
      </c>
      <c r="G19" s="61">
        <v>0</v>
      </c>
      <c r="H19" s="62"/>
      <c r="I19" s="61">
        <v>0</v>
      </c>
      <c r="J19" s="62"/>
      <c r="K19" s="61">
        <v>0</v>
      </c>
      <c r="L19" s="62"/>
      <c r="M19" s="61">
        <v>0</v>
      </c>
      <c r="N19" s="62"/>
      <c r="O19" s="61">
        <v>0</v>
      </c>
      <c r="P19" s="62"/>
      <c r="Q19" s="61">
        <v>0</v>
      </c>
      <c r="R19" s="62"/>
      <c r="S19" s="61"/>
      <c r="T19" s="62"/>
      <c r="U19" s="51">
        <v>0</v>
      </c>
      <c r="V19" s="46">
        <f t="shared" ref="V19:V21" si="18">U19/D19</f>
        <v>0</v>
      </c>
      <c r="W19" s="48">
        <f>SUM(D19-U19)</f>
        <v>906410</v>
      </c>
      <c r="X19" s="49">
        <f t="shared" si="10"/>
        <v>1</v>
      </c>
      <c r="Y19" s="47"/>
    </row>
    <row r="20" spans="1:25" s="50" customFormat="1" ht="24" customHeight="1" x14ac:dyDescent="0.2">
      <c r="A20" s="47" t="s">
        <v>67</v>
      </c>
      <c r="B20" s="48">
        <v>446180</v>
      </c>
      <c r="C20" s="48">
        <v>0</v>
      </c>
      <c r="D20" s="45">
        <f t="shared" si="16"/>
        <v>446180</v>
      </c>
      <c r="E20" s="51">
        <v>99617.74</v>
      </c>
      <c r="F20" s="49">
        <f t="shared" si="17"/>
        <v>0.22326805325205076</v>
      </c>
      <c r="G20" s="61">
        <v>0</v>
      </c>
      <c r="H20" s="62"/>
      <c r="I20" s="61">
        <v>0</v>
      </c>
      <c r="J20" s="62"/>
      <c r="K20" s="61">
        <v>0</v>
      </c>
      <c r="L20" s="62"/>
      <c r="M20" s="61">
        <v>0</v>
      </c>
      <c r="N20" s="62"/>
      <c r="O20" s="61">
        <v>18407.740000000002</v>
      </c>
      <c r="P20" s="62">
        <f>O20/446180</f>
        <v>4.1256309112914072E-2</v>
      </c>
      <c r="Q20" s="61">
        <v>20380</v>
      </c>
      <c r="R20" s="62">
        <f>Q20/446180</f>
        <v>4.5676632749114709E-2</v>
      </c>
      <c r="S20" s="61">
        <v>60830</v>
      </c>
      <c r="T20" s="62">
        <f>S20/446180</f>
        <v>0.13633511139002197</v>
      </c>
      <c r="U20" s="51">
        <v>99617.74</v>
      </c>
      <c r="V20" s="46">
        <f>U20/D20</f>
        <v>0.22326805325205076</v>
      </c>
      <c r="W20" s="48">
        <f>SUM(D20-U20)</f>
        <v>346562.26</v>
      </c>
      <c r="X20" s="49">
        <f t="shared" si="10"/>
        <v>0.77673194674794932</v>
      </c>
      <c r="Y20" s="47"/>
    </row>
    <row r="21" spans="1:25" s="50" customFormat="1" ht="24" customHeight="1" x14ac:dyDescent="0.2">
      <c r="A21" s="47" t="s">
        <v>65</v>
      </c>
      <c r="B21" s="48">
        <v>7625306</v>
      </c>
      <c r="C21" s="48">
        <v>0</v>
      </c>
      <c r="D21" s="45">
        <f t="shared" si="16"/>
        <v>7625306</v>
      </c>
      <c r="E21" s="51">
        <v>7625305.6200000001</v>
      </c>
      <c r="F21" s="49">
        <f t="shared" si="17"/>
        <v>0.99999995016593435</v>
      </c>
      <c r="G21" s="61">
        <v>0</v>
      </c>
      <c r="H21" s="62"/>
      <c r="I21" s="61">
        <v>0</v>
      </c>
      <c r="J21" s="62"/>
      <c r="K21" s="61">
        <v>0</v>
      </c>
      <c r="L21" s="62"/>
      <c r="M21" s="61">
        <v>0</v>
      </c>
      <c r="N21" s="62"/>
      <c r="O21" s="61">
        <v>0</v>
      </c>
      <c r="P21" s="62"/>
      <c r="Q21" s="61">
        <v>7625305.6200000001</v>
      </c>
      <c r="R21" s="62">
        <f>Q21/7625306</f>
        <v>0.99999995016593435</v>
      </c>
      <c r="S21" s="61">
        <v>0</v>
      </c>
      <c r="T21" s="62"/>
      <c r="U21" s="51">
        <v>7625305.6200000001</v>
      </c>
      <c r="V21" s="46">
        <f t="shared" si="18"/>
        <v>0.99999995016593435</v>
      </c>
      <c r="W21" s="48">
        <f>SUM(D21-U21)</f>
        <v>0.37999999988824129</v>
      </c>
      <c r="X21" s="49">
        <f t="shared" si="10"/>
        <v>4.9834065660872005E-8</v>
      </c>
      <c r="Y21" s="47"/>
    </row>
    <row r="22" spans="1:25" s="44" customFormat="1" ht="24" customHeight="1" x14ac:dyDescent="0.2">
      <c r="A22" s="52" t="s">
        <v>48</v>
      </c>
      <c r="B22" s="53">
        <f>SUM(B17:B18)</f>
        <v>141681576</v>
      </c>
      <c r="C22" s="53">
        <f t="shared" ref="C22:E22" si="19">SUM(C17:C18)</f>
        <v>82371.429999999993</v>
      </c>
      <c r="D22" s="53">
        <f>SUM(D17:D18)</f>
        <v>141599204.56999999</v>
      </c>
      <c r="E22" s="53">
        <f t="shared" si="19"/>
        <v>59177860.979999989</v>
      </c>
      <c r="F22" s="54">
        <f>E22/D22</f>
        <v>0.41792509470450617</v>
      </c>
      <c r="G22" s="63">
        <f>SUM(G17:G18)</f>
        <v>96324.63</v>
      </c>
      <c r="H22" s="64"/>
      <c r="I22" s="63" t="e">
        <f>SUM(I17:I18)</f>
        <v>#REF!</v>
      </c>
      <c r="J22" s="64"/>
      <c r="K22" s="63" t="e">
        <f>SUM(K17:K18)</f>
        <v>#REF!</v>
      </c>
      <c r="L22" s="64"/>
      <c r="M22" s="63" t="e">
        <f>SUM(M17:M18)</f>
        <v>#REF!</v>
      </c>
      <c r="N22" s="64"/>
      <c r="O22" s="63" t="e">
        <f>SUM(O17:O18)</f>
        <v>#REF!</v>
      </c>
      <c r="P22" s="64"/>
      <c r="Q22" s="63" t="e">
        <f>SUM(Q17:Q18)</f>
        <v>#REF!</v>
      </c>
      <c r="R22" s="64"/>
      <c r="S22" s="63" t="e">
        <f>SUM(S17:S18)</f>
        <v>#REF!</v>
      </c>
      <c r="T22" s="64"/>
      <c r="U22" s="53">
        <f>SUM(U17:U18)</f>
        <v>46683758.689999998</v>
      </c>
      <c r="V22" s="54">
        <f>U22/D22</f>
        <v>0.32968941338170965</v>
      </c>
      <c r="W22" s="53">
        <f>SUM(W17:W18)</f>
        <v>94915445.88000001</v>
      </c>
      <c r="X22" s="54">
        <f t="shared" si="10"/>
        <v>0.67031058661829046</v>
      </c>
      <c r="Y22" s="55"/>
    </row>
    <row r="23" spans="1:25" ht="16.5" customHeight="1" x14ac:dyDescent="0.3"/>
    <row r="24" spans="1:25" ht="18.75" customHeight="1" x14ac:dyDescent="0.3">
      <c r="A24" s="43" t="s">
        <v>89</v>
      </c>
    </row>
    <row r="25" spans="1:25" ht="18.75" customHeight="1" x14ac:dyDescent="0.3">
      <c r="A25" s="43" t="s">
        <v>90</v>
      </c>
    </row>
    <row r="26" spans="1:25" ht="18.75" customHeight="1" x14ac:dyDescent="0.3">
      <c r="A26" s="43" t="s">
        <v>86</v>
      </c>
      <c r="W26" s="43" t="s">
        <v>49</v>
      </c>
    </row>
  </sheetData>
  <mergeCells count="32">
    <mergeCell ref="A1:Y1"/>
    <mergeCell ref="A2:Y2"/>
    <mergeCell ref="A3:Y3"/>
    <mergeCell ref="A4:A7"/>
    <mergeCell ref="B4:D4"/>
    <mergeCell ref="E4:F4"/>
    <mergeCell ref="G4:T4"/>
    <mergeCell ref="U4:V4"/>
    <mergeCell ref="W4:X4"/>
    <mergeCell ref="Y4:Y7"/>
    <mergeCell ref="N5:N7"/>
    <mergeCell ref="B5:B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U5:U7"/>
    <mergeCell ref="V5:V7"/>
    <mergeCell ref="W5:W7"/>
    <mergeCell ref="X5:X7"/>
    <mergeCell ref="O5:O7"/>
    <mergeCell ref="P5:P7"/>
    <mergeCell ref="Q5:Q7"/>
    <mergeCell ref="R5:R7"/>
    <mergeCell ref="S5:S7"/>
    <mergeCell ref="T5:T7"/>
  </mergeCells>
  <printOptions horizontalCentered="1"/>
  <pageMargins left="0.19685039370078741" right="0.19685039370078741" top="0.39370078740157483" bottom="0.19685039370078741" header="0.31496062992125984" footer="0.31496062992125984"/>
  <pageSetup paperSize="14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9DED2-DDBE-4FB9-B588-6F4CB86822FC}">
  <dimension ref="A1:F18"/>
  <sheetViews>
    <sheetView workbookViewId="0">
      <selection activeCell="H14" sqref="H14"/>
    </sheetView>
  </sheetViews>
  <sheetFormatPr defaultRowHeight="21" x14ac:dyDescent="0.2"/>
  <cols>
    <col min="1" max="1" width="11.25" style="56" customWidth="1"/>
    <col min="2" max="2" width="15" style="56" customWidth="1"/>
    <col min="3" max="3" width="18.125" style="56" customWidth="1"/>
    <col min="4" max="4" width="15.875" style="56" customWidth="1"/>
    <col min="5" max="5" width="18.375" style="56" customWidth="1"/>
    <col min="6" max="6" width="14.125" style="56" bestFit="1" customWidth="1"/>
    <col min="7" max="16384" width="9" style="56"/>
  </cols>
  <sheetData>
    <row r="1" spans="1:6" x14ac:dyDescent="0.2">
      <c r="A1" s="130" t="s">
        <v>2</v>
      </c>
      <c r="B1" s="130"/>
      <c r="C1" s="130"/>
      <c r="D1" s="130"/>
      <c r="E1" s="130"/>
      <c r="F1" s="130"/>
    </row>
    <row r="2" spans="1:6" x14ac:dyDescent="0.2">
      <c r="A2" s="130" t="s">
        <v>85</v>
      </c>
      <c r="B2" s="130"/>
      <c r="C2" s="130"/>
      <c r="D2" s="130"/>
      <c r="E2" s="130"/>
      <c r="F2" s="130"/>
    </row>
    <row r="3" spans="1:6" ht="24.95" customHeight="1" x14ac:dyDescent="0.2">
      <c r="A3" s="57"/>
      <c r="B3" s="57" t="s">
        <v>22</v>
      </c>
      <c r="C3" s="57" t="s">
        <v>23</v>
      </c>
      <c r="D3" s="57" t="s">
        <v>24</v>
      </c>
      <c r="E3" s="57" t="s">
        <v>25</v>
      </c>
      <c r="F3" s="57" t="s">
        <v>77</v>
      </c>
    </row>
    <row r="4" spans="1:6" ht="24.95" customHeight="1" x14ac:dyDescent="0.2">
      <c r="A4" s="57" t="s">
        <v>68</v>
      </c>
      <c r="B4" s="80">
        <v>166210</v>
      </c>
      <c r="C4" s="80">
        <f>SUM(71914+8546255)</f>
        <v>8618169</v>
      </c>
      <c r="D4" s="80">
        <f>SUM(43687.7+60144)</f>
        <v>103831.7</v>
      </c>
      <c r="E4" s="80">
        <f>SUM(14480+159333)</f>
        <v>173813</v>
      </c>
      <c r="F4" s="57">
        <f t="shared" ref="F4:F16" si="0">SUM(B4:E4)</f>
        <v>9062023.6999999993</v>
      </c>
    </row>
    <row r="5" spans="1:6" ht="24.95" customHeight="1" x14ac:dyDescent="0.2">
      <c r="A5" s="57" t="s">
        <v>69</v>
      </c>
      <c r="B5" s="80">
        <v>237560</v>
      </c>
      <c r="C5" s="80">
        <v>338400</v>
      </c>
      <c r="D5" s="80">
        <f>SUM(7272.5+26250)</f>
        <v>33522.5</v>
      </c>
      <c r="E5" s="80">
        <f>SUM(1070+11050)</f>
        <v>12120</v>
      </c>
      <c r="F5" s="57">
        <f t="shared" si="0"/>
        <v>621602.5</v>
      </c>
    </row>
    <row r="6" spans="1:6" ht="24.95" customHeight="1" x14ac:dyDescent="0.2">
      <c r="A6" s="57" t="s">
        <v>19</v>
      </c>
      <c r="B6" s="80">
        <v>84300</v>
      </c>
      <c r="C6" s="80">
        <f>SUM(88000+166620)</f>
        <v>254620</v>
      </c>
      <c r="D6" s="80">
        <f>SUM(8337.2+104755)</f>
        <v>113092.2</v>
      </c>
      <c r="E6" s="80">
        <v>47400</v>
      </c>
      <c r="F6" s="57">
        <f t="shared" si="0"/>
        <v>499412.2</v>
      </c>
    </row>
    <row r="7" spans="1:6" ht="24.95" customHeight="1" x14ac:dyDescent="0.2">
      <c r="A7" s="57" t="s">
        <v>20</v>
      </c>
      <c r="B7" s="80">
        <v>70200</v>
      </c>
      <c r="C7" s="80">
        <f>SUM(3436+130800)</f>
        <v>134236</v>
      </c>
      <c r="D7" s="80">
        <v>21756.6</v>
      </c>
      <c r="E7" s="80">
        <f>SUM(23890+2600)</f>
        <v>26490</v>
      </c>
      <c r="F7" s="57">
        <f t="shared" si="0"/>
        <v>252682.6</v>
      </c>
    </row>
    <row r="8" spans="1:6" ht="24.95" customHeight="1" x14ac:dyDescent="0.2">
      <c r="A8" s="57" t="s">
        <v>70</v>
      </c>
      <c r="B8" s="80">
        <v>8150178.6799999997</v>
      </c>
      <c r="C8" s="80">
        <v>751705</v>
      </c>
      <c r="D8" s="80">
        <v>124868.1</v>
      </c>
      <c r="E8" s="80">
        <v>666000</v>
      </c>
      <c r="F8" s="57">
        <f t="shared" si="0"/>
        <v>9692751.7799999993</v>
      </c>
    </row>
    <row r="9" spans="1:6" ht="24.95" customHeight="1" x14ac:dyDescent="0.2">
      <c r="A9" s="57" t="s">
        <v>71</v>
      </c>
      <c r="B9" s="80">
        <v>2695905</v>
      </c>
      <c r="C9" s="80">
        <f>SUM(3004+21980)</f>
        <v>24984</v>
      </c>
      <c r="D9" s="80">
        <f>SUM(147822.7+73412)</f>
        <v>221234.7</v>
      </c>
      <c r="E9" s="80">
        <v>36464</v>
      </c>
      <c r="F9" s="57">
        <f t="shared" si="0"/>
        <v>2978587.7</v>
      </c>
    </row>
    <row r="10" spans="1:6" ht="24.95" customHeight="1" x14ac:dyDescent="0.2">
      <c r="A10" s="57" t="s">
        <v>72</v>
      </c>
      <c r="B10" s="80">
        <v>401080</v>
      </c>
      <c r="C10" s="80">
        <f>SUM(3600+206090)</f>
        <v>209690</v>
      </c>
      <c r="D10" s="80">
        <f>SUM(25096.2+51351)</f>
        <v>76447.199999999997</v>
      </c>
      <c r="E10" s="80">
        <v>9100</v>
      </c>
      <c r="F10" s="57">
        <f t="shared" si="0"/>
        <v>696317.2</v>
      </c>
    </row>
    <row r="11" spans="1:6" ht="24.95" customHeight="1" x14ac:dyDescent="0.2">
      <c r="A11" s="57" t="s">
        <v>73</v>
      </c>
      <c r="B11" s="80">
        <v>337590</v>
      </c>
      <c r="C11" s="80">
        <f>SUM(52868+1140534)</f>
        <v>1193402</v>
      </c>
      <c r="D11" s="80">
        <v>51052.4</v>
      </c>
      <c r="E11" s="80">
        <v>40300</v>
      </c>
      <c r="F11" s="57">
        <f t="shared" si="0"/>
        <v>1622344.4</v>
      </c>
    </row>
    <row r="12" spans="1:6" ht="24.95" customHeight="1" x14ac:dyDescent="0.2">
      <c r="A12" s="57" t="s">
        <v>21</v>
      </c>
      <c r="B12" s="80">
        <v>453180</v>
      </c>
      <c r="C12" s="80">
        <v>81092</v>
      </c>
      <c r="D12" s="80"/>
      <c r="E12" s="80">
        <v>128340</v>
      </c>
      <c r="F12" s="57">
        <f t="shared" si="0"/>
        <v>662612</v>
      </c>
    </row>
    <row r="13" spans="1:6" ht="24.95" customHeight="1" x14ac:dyDescent="0.2">
      <c r="A13" s="57" t="s">
        <v>74</v>
      </c>
      <c r="B13" s="80">
        <v>2875461.45</v>
      </c>
      <c r="C13" s="80">
        <f>SUM(137029+378605)</f>
        <v>515634</v>
      </c>
      <c r="D13" s="80">
        <f>SUM(45539.5+38000)</f>
        <v>83539.5</v>
      </c>
      <c r="E13" s="80">
        <f>SUM(186480+215464.65)</f>
        <v>401944.65</v>
      </c>
      <c r="F13" s="57">
        <f t="shared" si="0"/>
        <v>3876579.6</v>
      </c>
    </row>
    <row r="14" spans="1:6" ht="24.95" customHeight="1" x14ac:dyDescent="0.2">
      <c r="A14" s="57" t="s">
        <v>75</v>
      </c>
      <c r="B14" s="80">
        <v>6460</v>
      </c>
      <c r="C14" s="80">
        <v>553520</v>
      </c>
      <c r="D14" s="80">
        <v>35256.300000000003</v>
      </c>
      <c r="E14" s="80">
        <f>SUM(30420+7800)</f>
        <v>38220</v>
      </c>
      <c r="F14" s="57">
        <f t="shared" si="0"/>
        <v>633456.30000000005</v>
      </c>
    </row>
    <row r="15" spans="1:6" ht="24.95" customHeight="1" x14ac:dyDescent="0.2">
      <c r="A15" s="57" t="s">
        <v>76</v>
      </c>
      <c r="B15" s="80">
        <v>134800</v>
      </c>
      <c r="C15" s="80">
        <f>SUM(74500+7165934)</f>
        <v>7240434</v>
      </c>
      <c r="D15" s="80">
        <f>SUM(16680.7+21000)</f>
        <v>37680.699999999997</v>
      </c>
      <c r="E15" s="80">
        <f>SUM(1070+17600)</f>
        <v>18670</v>
      </c>
      <c r="F15" s="57">
        <f t="shared" si="0"/>
        <v>7431584.7000000002</v>
      </c>
    </row>
    <row r="16" spans="1:6" ht="24.95" customHeight="1" x14ac:dyDescent="0.2">
      <c r="A16" s="57" t="s">
        <v>77</v>
      </c>
      <c r="B16" s="57">
        <f>SUM(B4:B15)</f>
        <v>15612925.129999999</v>
      </c>
      <c r="C16" s="57">
        <f>SUM(C4:C15)</f>
        <v>19915886</v>
      </c>
      <c r="D16" s="57">
        <f>SUM(D4:D15)</f>
        <v>902281.9</v>
      </c>
      <c r="E16" s="57">
        <f>SUM(E4:E15)</f>
        <v>1598861.65</v>
      </c>
      <c r="F16" s="58">
        <f t="shared" si="0"/>
        <v>38029954.679999992</v>
      </c>
    </row>
    <row r="17" spans="4:6" x14ac:dyDescent="0.2">
      <c r="D17" s="105" t="s">
        <v>87</v>
      </c>
      <c r="E17" s="105"/>
      <c r="F17" s="56">
        <f>รายงาน!E11</f>
        <v>1669794</v>
      </c>
    </row>
    <row r="18" spans="4:6" x14ac:dyDescent="0.2">
      <c r="D18" s="106" t="s">
        <v>88</v>
      </c>
      <c r="E18" s="106"/>
      <c r="F18" s="56">
        <f>SUM(F16-F17)</f>
        <v>36360160.679999992</v>
      </c>
    </row>
  </sheetData>
  <mergeCells count="4">
    <mergeCell ref="A1:F1"/>
    <mergeCell ref="A2:F2"/>
    <mergeCell ref="D17:E17"/>
    <mergeCell ref="D18:E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40727-642E-4D3A-9A7F-2B23DD94135C}">
  <dimension ref="A1:H26"/>
  <sheetViews>
    <sheetView zoomScale="98" zoomScaleNormal="98" workbookViewId="0">
      <selection activeCell="L25" sqref="L25"/>
    </sheetView>
  </sheetViews>
  <sheetFormatPr defaultRowHeight="21" x14ac:dyDescent="0.35"/>
  <cols>
    <col min="1" max="5" width="9" style="1"/>
    <col min="6" max="6" width="9" style="1" customWidth="1"/>
    <col min="7" max="7" width="0.875" style="1" customWidth="1"/>
    <col min="8" max="8" width="40.375" style="1" customWidth="1"/>
    <col min="9" max="9" width="18.25" style="1" customWidth="1"/>
    <col min="10" max="16384" width="9" style="1"/>
  </cols>
  <sheetData>
    <row r="1" spans="1:8" s="4" customFormat="1" x14ac:dyDescent="0.35">
      <c r="A1" s="107" t="s">
        <v>101</v>
      </c>
      <c r="B1" s="107"/>
      <c r="C1" s="107"/>
      <c r="D1" s="107"/>
      <c r="E1" s="107"/>
      <c r="F1" s="107"/>
      <c r="G1" s="107"/>
      <c r="H1" s="107"/>
    </row>
    <row r="2" spans="1:8" s="4" customFormat="1" x14ac:dyDescent="0.35">
      <c r="A2" s="107" t="s">
        <v>102</v>
      </c>
      <c r="B2" s="107"/>
      <c r="C2" s="107"/>
      <c r="D2" s="107"/>
      <c r="E2" s="107"/>
      <c r="F2" s="107"/>
      <c r="G2" s="107"/>
      <c r="H2" s="107"/>
    </row>
    <row r="3" spans="1:8" s="4" customFormat="1" x14ac:dyDescent="0.35"/>
    <row r="12" spans="1:8" x14ac:dyDescent="0.35">
      <c r="G12" s="4"/>
    </row>
    <row r="16" spans="1:8" x14ac:dyDescent="0.35">
      <c r="H16" s="4" t="s">
        <v>103</v>
      </c>
    </row>
    <row r="17" spans="8:8" x14ac:dyDescent="0.35">
      <c r="H17" s="1" t="s">
        <v>105</v>
      </c>
    </row>
    <row r="18" spans="8:8" x14ac:dyDescent="0.35">
      <c r="H18" s="1" t="s">
        <v>108</v>
      </c>
    </row>
    <row r="19" spans="8:8" x14ac:dyDescent="0.35">
      <c r="H19" s="1" t="s">
        <v>104</v>
      </c>
    </row>
    <row r="20" spans="8:8" x14ac:dyDescent="0.35">
      <c r="H20" s="1" t="s">
        <v>109</v>
      </c>
    </row>
    <row r="21" spans="8:8" x14ac:dyDescent="0.35">
      <c r="H21" s="1" t="s">
        <v>110</v>
      </c>
    </row>
    <row r="22" spans="8:8" s="98" customFormat="1" ht="42" x14ac:dyDescent="0.35">
      <c r="H22" s="99" t="s">
        <v>112</v>
      </c>
    </row>
    <row r="23" spans="8:8" ht="42" x14ac:dyDescent="0.35">
      <c r="H23" s="97" t="s">
        <v>106</v>
      </c>
    </row>
    <row r="24" spans="8:8" x14ac:dyDescent="0.35">
      <c r="H24" s="100" t="s">
        <v>107</v>
      </c>
    </row>
    <row r="25" spans="8:8" ht="42" x14ac:dyDescent="0.35">
      <c r="H25" s="97" t="s">
        <v>111</v>
      </c>
    </row>
    <row r="26" spans="8:8" x14ac:dyDescent="0.35">
      <c r="H26" s="101" t="s">
        <v>113</v>
      </c>
    </row>
  </sheetData>
  <mergeCells count="2">
    <mergeCell ref="A1:H1"/>
    <mergeCell ref="A2:H2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2</vt:i4>
      </vt:variant>
    </vt:vector>
  </HeadingPairs>
  <TitlesOfParts>
    <vt:vector size="10" baseType="lpstr">
      <vt:lpstr>ผลการใช้จ่าย ไตรมาส 1</vt:lpstr>
      <vt:lpstr>ผลการใช้จ่าย ไตรมาส 2</vt:lpstr>
      <vt:lpstr>รายละเอียดผลการใช้จ่าย</vt:lpstr>
      <vt:lpstr>Sheet3</vt:lpstr>
      <vt:lpstr>รายงาน</vt:lpstr>
      <vt:lpstr>รายงานตัวชี้วัด</vt:lpstr>
      <vt:lpstr>ผลการก่อหนี้</vt:lpstr>
      <vt:lpstr>เบิกเหลื่อมปี</vt:lpstr>
      <vt:lpstr>'ผลการใช้จ่าย ไตรมาส 1'!Print_Area</vt:lpstr>
      <vt:lpstr>'ผลการใช้จ่าย ไตรมาส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DUSIT</dc:creator>
  <cp:lastModifiedBy>DUSIT</cp:lastModifiedBy>
  <cp:lastPrinted>2023-05-22T08:28:44Z</cp:lastPrinted>
  <dcterms:created xsi:type="dcterms:W3CDTF">2022-02-02T04:22:27Z</dcterms:created>
  <dcterms:modified xsi:type="dcterms:W3CDTF">2023-05-22T08:29:37Z</dcterms:modified>
</cp:coreProperties>
</file>