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761" activeTab="11"/>
  </bookViews>
  <sheets>
    <sheet name="ปกครอง" sheetId="1" r:id="rId1"/>
    <sheet name="ทะเบียน" sheetId="2" r:id="rId2"/>
    <sheet name="คลัง" sheetId="4" r:id="rId3"/>
    <sheet name="รายได้" sheetId="5" r:id="rId4"/>
    <sheet name="รักษา" sheetId="6" r:id="rId5"/>
    <sheet name="ปลูก" sheetId="7" r:id="rId6"/>
    <sheet name="เทศกิจ" sheetId="8" r:id="rId7"/>
    <sheet name="โยธา" sheetId="9" r:id="rId8"/>
    <sheet name="ระบายน้ำ" sheetId="11" r:id="rId9"/>
    <sheet name="พัฒนา" sheetId="12" r:id="rId10"/>
    <sheet name="อนามัย" sheetId="13" r:id="rId11"/>
    <sheet name="ศึกษา" sheetId="14" r:id="rId12"/>
    <sheet name="test" sheetId="15" r:id="rId13"/>
    <sheet name="สัญญา" sheetId="17" state="hidden" r:id="rId14"/>
  </sheets>
  <definedNames>
    <definedName name="_xlnm.Print_Area" localSheetId="2">คลัง!$A$1:$E$43</definedName>
    <definedName name="_xlnm.Print_Area" localSheetId="1">ทะเบียน!$A$1:$F$38</definedName>
    <definedName name="_xlnm.Print_Area" localSheetId="6">เทศกิจ!$A$1:$E$56</definedName>
    <definedName name="_xlnm.Print_Area" localSheetId="0">ปกครอง!$A$1:$F$83</definedName>
    <definedName name="_xlnm.Print_Area" localSheetId="5">ปลูก!$A$1:$E$49</definedName>
    <definedName name="_xlnm.Print_Area" localSheetId="9">พัฒนา!$A$1:$E$105</definedName>
    <definedName name="_xlnm.Print_Area" localSheetId="7">โยธา!$A$1:$E$74</definedName>
    <definedName name="_xlnm.Print_Area" localSheetId="8">ระบายน้ำ!$A$1:$E$38</definedName>
    <definedName name="_xlnm.Print_Area" localSheetId="3">รายได้!$A$1:$E$37</definedName>
    <definedName name="_xlnm.Print_Area" localSheetId="11">ศึกษา!$A$1:$E$125</definedName>
    <definedName name="_xlnm.Print_Area" localSheetId="10">อนามัย!$A$1:$E$82</definedName>
    <definedName name="_xlnm.Print_Titles" localSheetId="2">คลัง!$A:$B,คลัง!$1:$6</definedName>
    <definedName name="_xlnm.Print_Titles" localSheetId="1">ทะเบียน!$A:$C,ทะเบียน!$1:$6</definedName>
    <definedName name="_xlnm.Print_Titles" localSheetId="6">เทศกิจ!$A:$B,เทศกิจ!$1:$6</definedName>
    <definedName name="_xlnm.Print_Titles" localSheetId="0">ปกครอง!$A:$C,ปกครอง!$1:$6</definedName>
    <definedName name="_xlnm.Print_Titles" localSheetId="5">ปลูก!$A:$B,ปลูก!$1:$6</definedName>
    <definedName name="_xlnm.Print_Titles" localSheetId="9">พัฒนา!$A:$B,พัฒนา!$1:$7</definedName>
    <definedName name="_xlnm.Print_Titles" localSheetId="7">โยธา!$A:$B,โยธา!$1:$7</definedName>
    <definedName name="_xlnm.Print_Titles" localSheetId="8">ระบายน้ำ!$A:$B,ระบายน้ำ!$1:$6</definedName>
    <definedName name="_xlnm.Print_Titles" localSheetId="4">รักษา!$A:$B,รักษา!$1:$6</definedName>
    <definedName name="_xlnm.Print_Titles" localSheetId="3">รายได้!$A:$B,รายได้!$1:$6</definedName>
    <definedName name="_xlnm.Print_Titles" localSheetId="11">ศึกษา!$A:$B,ศึกษา!$1:$6</definedName>
    <definedName name="_xlnm.Print_Titles" localSheetId="10">อนามัย!$A:$B,อนามัย!$1:$6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/>
  <c r="D96" i="6"/>
  <c r="E94"/>
  <c r="D94"/>
  <c r="E79" i="13"/>
  <c r="D79"/>
  <c r="E45"/>
  <c r="D45"/>
  <c r="C45"/>
  <c r="E122" i="14"/>
  <c r="D122"/>
  <c r="E91"/>
  <c r="D91"/>
  <c r="C91"/>
  <c r="C85"/>
  <c r="C47"/>
  <c r="E36"/>
  <c r="D36"/>
  <c r="E16"/>
  <c r="D16"/>
  <c r="E11"/>
  <c r="E9" s="1"/>
  <c r="D11"/>
  <c r="D9" s="1"/>
  <c r="C36"/>
  <c r="C16"/>
  <c r="C11"/>
  <c r="E73" i="13"/>
  <c r="D73"/>
  <c r="E58"/>
  <c r="D58"/>
  <c r="E51"/>
  <c r="D51"/>
  <c r="E16"/>
  <c r="D16"/>
  <c r="D9" s="1"/>
  <c r="E11"/>
  <c r="D11"/>
  <c r="E9"/>
  <c r="C47"/>
  <c r="C73"/>
  <c r="C67"/>
  <c r="C60"/>
  <c r="C58" s="1"/>
  <c r="C51"/>
  <c r="C16"/>
  <c r="C11"/>
  <c r="E78"/>
  <c r="D78"/>
  <c r="E98" i="12"/>
  <c r="D98"/>
  <c r="E54"/>
  <c r="D54"/>
  <c r="E19"/>
  <c r="D19"/>
  <c r="D10" s="1"/>
  <c r="E10"/>
  <c r="C98"/>
  <c r="C72"/>
  <c r="C54"/>
  <c r="C19"/>
  <c r="C10" s="1"/>
  <c r="C12"/>
  <c r="E33" i="8"/>
  <c r="D33"/>
  <c r="C42"/>
  <c r="E35"/>
  <c r="D35"/>
  <c r="E13"/>
  <c r="E9" s="1"/>
  <c r="E54" s="1"/>
  <c r="D13"/>
  <c r="D9" s="1"/>
  <c r="D54" s="1"/>
  <c r="C35"/>
  <c r="C33" s="1"/>
  <c r="C13"/>
  <c r="C9" s="1"/>
  <c r="E9" i="11"/>
  <c r="D9"/>
  <c r="C16"/>
  <c r="C9" s="1"/>
  <c r="C36" s="1"/>
  <c r="C11"/>
  <c r="E72" i="9"/>
  <c r="D72"/>
  <c r="E38"/>
  <c r="D38"/>
  <c r="E33"/>
  <c r="D33"/>
  <c r="C33"/>
  <c r="C68"/>
  <c r="C47"/>
  <c r="C38" s="1"/>
  <c r="C40"/>
  <c r="E10"/>
  <c r="D10"/>
  <c r="C14"/>
  <c r="C10" s="1"/>
  <c r="E42" i="7"/>
  <c r="E9" s="1"/>
  <c r="E46" s="1"/>
  <c r="D42"/>
  <c r="E18"/>
  <c r="D18"/>
  <c r="D9"/>
  <c r="D46" s="1"/>
  <c r="C42"/>
  <c r="C18"/>
  <c r="E11"/>
  <c r="D11"/>
  <c r="C11"/>
  <c r="E66" i="6"/>
  <c r="D66"/>
  <c r="E62"/>
  <c r="D62"/>
  <c r="E41"/>
  <c r="D41"/>
  <c r="E9"/>
  <c r="D9"/>
  <c r="C90"/>
  <c r="C62" s="1"/>
  <c r="C41"/>
  <c r="C66"/>
  <c r="C57"/>
  <c r="C45"/>
  <c r="C36"/>
  <c r="C18"/>
  <c r="C11"/>
  <c r="C9" s="1"/>
  <c r="E35" i="5"/>
  <c r="D35"/>
  <c r="E9"/>
  <c r="D9"/>
  <c r="C13"/>
  <c r="C9" s="1"/>
  <c r="C35" s="1"/>
  <c r="E41" i="4"/>
  <c r="D41"/>
  <c r="E9"/>
  <c r="D9"/>
  <c r="C35"/>
  <c r="C16"/>
  <c r="C11"/>
  <c r="F9" i="2"/>
  <c r="E9"/>
  <c r="F16" i="1"/>
  <c r="E16"/>
  <c r="F59"/>
  <c r="E59"/>
  <c r="F9"/>
  <c r="E9"/>
  <c r="D11" i="2"/>
  <c r="D9" s="1"/>
  <c r="D36" s="1"/>
  <c r="F80" i="1"/>
  <c r="E80"/>
  <c r="D76"/>
  <c r="D68"/>
  <c r="D63"/>
  <c r="D16"/>
  <c r="D9" s="1"/>
  <c r="E79"/>
  <c r="F26" i="13"/>
  <c r="G26" s="1"/>
  <c r="F33" i="11"/>
  <c r="G33" s="1"/>
  <c r="G54" i="9"/>
  <c r="G50" i="6"/>
  <c r="B10" i="1"/>
  <c r="D10"/>
  <c r="E10"/>
  <c r="F10"/>
  <c r="G10"/>
  <c r="H10" s="1"/>
  <c r="E62"/>
  <c r="E46" i="13"/>
  <c r="C10" i="11"/>
  <c r="D10"/>
  <c r="E10"/>
  <c r="E90" i="14"/>
  <c r="D90"/>
  <c r="C90"/>
  <c r="D10"/>
  <c r="E10"/>
  <c r="F54" i="13"/>
  <c r="D72"/>
  <c r="C15"/>
  <c r="E72"/>
  <c r="E18" i="12"/>
  <c r="D18"/>
  <c r="G42"/>
  <c r="G44"/>
  <c r="C18"/>
  <c r="C34" i="8"/>
  <c r="F37"/>
  <c r="C12"/>
  <c r="E65" i="6"/>
  <c r="D65"/>
  <c r="C65"/>
  <c r="C56"/>
  <c r="E17"/>
  <c r="D17"/>
  <c r="C17"/>
  <c r="E10"/>
  <c r="D10"/>
  <c r="C12" i="5"/>
  <c r="D10" i="2"/>
  <c r="D8" s="1"/>
  <c r="D67" i="1"/>
  <c r="D75"/>
  <c r="G55"/>
  <c r="D53"/>
  <c r="D15"/>
  <c r="D8" s="1"/>
  <c r="G13"/>
  <c r="G45"/>
  <c r="G36"/>
  <c r="F115" i="14"/>
  <c r="F114"/>
  <c r="G114" s="1"/>
  <c r="F108"/>
  <c r="G108" s="1"/>
  <c r="F109"/>
  <c r="F105"/>
  <c r="F104"/>
  <c r="G104" s="1"/>
  <c r="F103"/>
  <c r="F102"/>
  <c r="G102" s="1"/>
  <c r="F101"/>
  <c r="F100"/>
  <c r="G100" s="1"/>
  <c r="F97"/>
  <c r="F96"/>
  <c r="G96" s="1"/>
  <c r="F95"/>
  <c r="F94"/>
  <c r="G94" s="1"/>
  <c r="F93"/>
  <c r="F92"/>
  <c r="G92" s="1"/>
  <c r="F68"/>
  <c r="G68" s="1"/>
  <c r="F33"/>
  <c r="G33" s="1"/>
  <c r="C72" i="13"/>
  <c r="F41"/>
  <c r="G41" s="1"/>
  <c r="G93" i="12"/>
  <c r="F95"/>
  <c r="G95" s="1"/>
  <c r="F89"/>
  <c r="G89" s="1"/>
  <c r="F79"/>
  <c r="G79" s="1"/>
  <c r="G75"/>
  <c r="G46"/>
  <c r="F22"/>
  <c r="G22" s="1"/>
  <c r="E41" i="8"/>
  <c r="D41"/>
  <c r="C41"/>
  <c r="F29"/>
  <c r="F35" i="7"/>
  <c r="G35" s="1"/>
  <c r="C89" i="6"/>
  <c r="E35"/>
  <c r="D35"/>
  <c r="C35"/>
  <c r="F81"/>
  <c r="G81" s="1"/>
  <c r="F33"/>
  <c r="G33" s="1"/>
  <c r="G32" i="5"/>
  <c r="G32" i="4"/>
  <c r="G30"/>
  <c r="B10" i="2"/>
  <c r="B8" s="1"/>
  <c r="H31"/>
  <c r="H33"/>
  <c r="B60" i="1"/>
  <c r="B67"/>
  <c r="B75"/>
  <c r="G71"/>
  <c r="B62"/>
  <c r="B15"/>
  <c r="F67"/>
  <c r="E67"/>
  <c r="F62"/>
  <c r="D62"/>
  <c r="F53"/>
  <c r="E53"/>
  <c r="E15"/>
  <c r="B53"/>
  <c r="G60"/>
  <c r="G65"/>
  <c r="G69"/>
  <c r="H69" s="1"/>
  <c r="G77"/>
  <c r="C72" i="9" l="1"/>
  <c r="C94" i="6"/>
  <c r="C9" i="4"/>
  <c r="C41" s="1"/>
  <c r="C9" i="14"/>
  <c r="C9" i="7"/>
  <c r="C46" s="1"/>
  <c r="C9" i="13"/>
  <c r="C79" s="1"/>
  <c r="E50" i="12"/>
  <c r="E102" s="1"/>
  <c r="D50"/>
  <c r="D102" s="1"/>
  <c r="C50"/>
  <c r="C102" s="1"/>
  <c r="C54" i="8"/>
  <c r="D59" i="1"/>
  <c r="D80" s="1"/>
  <c r="C43" i="14"/>
  <c r="F15" i="1"/>
  <c r="G15" s="1"/>
  <c r="F72" i="13"/>
  <c r="G72" s="1"/>
  <c r="D58" i="1"/>
  <c r="D79" s="1"/>
  <c r="B8"/>
  <c r="G53"/>
  <c r="G67"/>
  <c r="B58"/>
  <c r="G64"/>
  <c r="H65"/>
  <c r="F85"/>
  <c r="C123" i="14" l="1"/>
  <c r="F74" i="13"/>
  <c r="C59"/>
  <c r="F70"/>
  <c r="F64"/>
  <c r="F62"/>
  <c r="E50"/>
  <c r="D50"/>
  <c r="C50"/>
  <c r="D46"/>
  <c r="D44" s="1"/>
  <c r="C46"/>
  <c r="C44" s="1"/>
  <c r="F52"/>
  <c r="F49"/>
  <c r="G49" s="1"/>
  <c r="F48"/>
  <c r="F39"/>
  <c r="F37"/>
  <c r="F35"/>
  <c r="F32"/>
  <c r="F30"/>
  <c r="F28"/>
  <c r="F26" i="4"/>
  <c r="F33" i="7"/>
  <c r="F43"/>
  <c r="F39"/>
  <c r="F37"/>
  <c r="F31"/>
  <c r="G31" s="1"/>
  <c r="F29"/>
  <c r="F26"/>
  <c r="F24"/>
  <c r="F21"/>
  <c r="E10"/>
  <c r="D10"/>
  <c r="C10"/>
  <c r="F15"/>
  <c r="F13"/>
  <c r="E15" i="11"/>
  <c r="D15"/>
  <c r="C15"/>
  <c r="F27"/>
  <c r="F24"/>
  <c r="F22"/>
  <c r="F19"/>
  <c r="F13"/>
  <c r="E46" i="9"/>
  <c r="D46"/>
  <c r="C46"/>
  <c r="F69"/>
  <c r="F65"/>
  <c r="F56"/>
  <c r="F52"/>
  <c r="F50"/>
  <c r="E39"/>
  <c r="D39"/>
  <c r="C39"/>
  <c r="F44"/>
  <c r="F42"/>
  <c r="D13"/>
  <c r="C13"/>
  <c r="F29"/>
  <c r="F27"/>
  <c r="F25"/>
  <c r="F22"/>
  <c r="F20"/>
  <c r="F17"/>
  <c r="C61" i="6"/>
  <c r="F91"/>
  <c r="F87"/>
  <c r="F85"/>
  <c r="F83"/>
  <c r="F79"/>
  <c r="F76"/>
  <c r="F73"/>
  <c r="F71"/>
  <c r="F69"/>
  <c r="F54"/>
  <c r="F52"/>
  <c r="F48"/>
  <c r="E8"/>
  <c r="E93" s="1"/>
  <c r="C10"/>
  <c r="C8" s="1"/>
  <c r="C93" s="1"/>
  <c r="F31"/>
  <c r="F29"/>
  <c r="F26"/>
  <c r="F24"/>
  <c r="F21"/>
  <c r="F15"/>
  <c r="F13"/>
  <c r="F10" i="7" l="1"/>
  <c r="F50" i="13"/>
  <c r="D8" i="11"/>
  <c r="C8"/>
  <c r="E8"/>
  <c r="F15"/>
  <c r="F23" i="7"/>
  <c r="D8" i="6"/>
  <c r="D93" s="1"/>
  <c r="F10"/>
  <c r="F28" i="7"/>
  <c r="F46" i="13"/>
  <c r="E44"/>
  <c r="F17" i="6"/>
  <c r="F65"/>
  <c r="F63"/>
  <c r="F46" i="9"/>
  <c r="F10" i="11"/>
  <c r="E97" i="12"/>
  <c r="D97"/>
  <c r="C97"/>
  <c r="E71"/>
  <c r="D71"/>
  <c r="C71"/>
  <c r="F91"/>
  <c r="F85"/>
  <c r="F83"/>
  <c r="F73"/>
  <c r="E53"/>
  <c r="D53"/>
  <c r="C53"/>
  <c r="F69"/>
  <c r="F67"/>
  <c r="F64"/>
  <c r="F62"/>
  <c r="F59"/>
  <c r="F57"/>
  <c r="F40"/>
  <c r="F38"/>
  <c r="F36"/>
  <c r="F33"/>
  <c r="F31"/>
  <c r="F29"/>
  <c r="F27"/>
  <c r="F25"/>
  <c r="E11"/>
  <c r="E9" s="1"/>
  <c r="D11"/>
  <c r="D9" s="1"/>
  <c r="C11"/>
  <c r="E34" i="8"/>
  <c r="F39"/>
  <c r="D32"/>
  <c r="C32"/>
  <c r="E12"/>
  <c r="D12"/>
  <c r="F16"/>
  <c r="F15" s="1"/>
  <c r="F27"/>
  <c r="F25"/>
  <c r="F23"/>
  <c r="F19"/>
  <c r="F18" s="1"/>
  <c r="F24" i="13"/>
  <c r="F22"/>
  <c r="F19"/>
  <c r="F13"/>
  <c r="G47" i="1"/>
  <c r="G43"/>
  <c r="G41"/>
  <c r="G39"/>
  <c r="G34"/>
  <c r="G32"/>
  <c r="G30"/>
  <c r="G26"/>
  <c r="G24"/>
  <c r="G22"/>
  <c r="G19"/>
  <c r="F8" i="6" l="1"/>
  <c r="F8" i="11"/>
  <c r="F71" i="12"/>
  <c r="F24"/>
  <c r="E32" i="8"/>
  <c r="F32" s="1"/>
  <c r="F34"/>
  <c r="F44" i="13"/>
  <c r="C9" i="12"/>
  <c r="F18"/>
  <c r="F35"/>
  <c r="F11"/>
  <c r="C49"/>
  <c r="F97"/>
  <c r="G62" i="1"/>
  <c r="H62" s="1"/>
  <c r="H67"/>
  <c r="F12" i="8"/>
  <c r="F10"/>
  <c r="G29" i="2"/>
  <c r="G25"/>
  <c r="G20"/>
  <c r="G16"/>
  <c r="G14"/>
  <c r="F23" i="4"/>
  <c r="E46" i="14"/>
  <c r="D46"/>
  <c r="C46"/>
  <c r="E35"/>
  <c r="D35"/>
  <c r="C35"/>
  <c r="C15" s="1"/>
  <c r="F123"/>
  <c r="F121"/>
  <c r="F120"/>
  <c r="F119"/>
  <c r="F118"/>
  <c r="F117"/>
  <c r="F116"/>
  <c r="F113"/>
  <c r="F112"/>
  <c r="F111"/>
  <c r="F110"/>
  <c r="F99"/>
  <c r="F98"/>
  <c r="F91"/>
  <c r="F89"/>
  <c r="F88"/>
  <c r="F87"/>
  <c r="F86"/>
  <c r="F85"/>
  <c r="F82"/>
  <c r="F80"/>
  <c r="F78"/>
  <c r="F76"/>
  <c r="F74"/>
  <c r="F72"/>
  <c r="F70"/>
  <c r="F65"/>
  <c r="F63"/>
  <c r="F61"/>
  <c r="G61" s="1"/>
  <c r="F59"/>
  <c r="F57"/>
  <c r="F55"/>
  <c r="F53"/>
  <c r="G53" s="1"/>
  <c r="F50"/>
  <c r="F47"/>
  <c r="F45"/>
  <c r="F43"/>
  <c r="F41"/>
  <c r="F40"/>
  <c r="F39"/>
  <c r="G39" s="1"/>
  <c r="F38"/>
  <c r="F37"/>
  <c r="G37" s="1"/>
  <c r="F36"/>
  <c r="F31"/>
  <c r="F29"/>
  <c r="F27"/>
  <c r="F24"/>
  <c r="F22"/>
  <c r="F19"/>
  <c r="F18"/>
  <c r="F17"/>
  <c r="F16"/>
  <c r="F13"/>
  <c r="D15"/>
  <c r="G32" i="13"/>
  <c r="G30"/>
  <c r="G28"/>
  <c r="G40" i="12"/>
  <c r="G31"/>
  <c r="G33"/>
  <c r="G29"/>
  <c r="G52" i="9"/>
  <c r="G56"/>
  <c r="F51" i="8"/>
  <c r="G51" s="1"/>
  <c r="G48"/>
  <c r="G45"/>
  <c r="E8"/>
  <c r="D8"/>
  <c r="D53" s="1"/>
  <c r="C8"/>
  <c r="G29" i="7"/>
  <c r="C101" i="12" l="1"/>
  <c r="F26" i="14"/>
  <c r="C53" i="8"/>
  <c r="F8"/>
  <c r="F46" i="14"/>
  <c r="F90"/>
  <c r="F9" i="12"/>
  <c r="E53" i="8"/>
  <c r="F15" i="14"/>
  <c r="F49"/>
  <c r="F67"/>
  <c r="F35"/>
  <c r="F21"/>
  <c r="F52"/>
  <c r="F44"/>
  <c r="E15"/>
  <c r="G35"/>
  <c r="G12" i="8"/>
  <c r="E89" i="6"/>
  <c r="E61" s="1"/>
  <c r="D89"/>
  <c r="D61" s="1"/>
  <c r="G59"/>
  <c r="G57"/>
  <c r="F56"/>
  <c r="G76"/>
  <c r="G48"/>
  <c r="G31"/>
  <c r="F53" i="8" l="1"/>
  <c r="F61" i="6"/>
  <c r="F89"/>
  <c r="G56"/>
  <c r="H22" i="2"/>
  <c r="H51" i="1"/>
  <c r="G22" i="15" l="1"/>
  <c r="G18"/>
  <c r="G14"/>
  <c r="G12"/>
  <c r="G10"/>
  <c r="G7"/>
  <c r="D26"/>
  <c r="D32"/>
  <c r="D24"/>
  <c r="G24" s="1"/>
  <c r="D23"/>
  <c r="G23" s="1"/>
  <c r="D22"/>
  <c r="D21"/>
  <c r="G21" s="1"/>
  <c r="D20"/>
  <c r="G20" s="1"/>
  <c r="D19"/>
  <c r="G19" s="1"/>
  <c r="D18"/>
  <c r="D17"/>
  <c r="G17" s="1"/>
  <c r="D16"/>
  <c r="G16" s="1"/>
  <c r="D15"/>
  <c r="G15" s="1"/>
  <c r="D14"/>
  <c r="D13"/>
  <c r="G13" s="1"/>
  <c r="D10"/>
  <c r="D4"/>
  <c r="G4" s="1"/>
  <c r="D11"/>
  <c r="G11" s="1"/>
  <c r="D9"/>
  <c r="G9" s="1"/>
  <c r="D8"/>
  <c r="G8" s="1"/>
  <c r="D7"/>
  <c r="D6"/>
  <c r="D5"/>
  <c r="G5" s="1"/>
  <c r="D3"/>
  <c r="G3" s="1"/>
  <c r="D25" l="1"/>
  <c r="E32" s="1"/>
  <c r="G6"/>
  <c r="D27"/>
  <c r="G13" i="11" l="1"/>
  <c r="F67" i="9"/>
  <c r="F39"/>
  <c r="D67"/>
  <c r="D37" s="1"/>
  <c r="E67"/>
  <c r="E37" s="1"/>
  <c r="C67"/>
  <c r="C37" s="1"/>
  <c r="F34"/>
  <c r="D32"/>
  <c r="E32"/>
  <c r="D9"/>
  <c r="E13"/>
  <c r="F13" s="1"/>
  <c r="C9"/>
  <c r="G69"/>
  <c r="G65"/>
  <c r="G50"/>
  <c r="G44"/>
  <c r="G42"/>
  <c r="G90" i="6"/>
  <c r="F44"/>
  <c r="D44"/>
  <c r="E44"/>
  <c r="C44"/>
  <c r="G91"/>
  <c r="G87"/>
  <c r="G85"/>
  <c r="G83"/>
  <c r="G79"/>
  <c r="G73"/>
  <c r="G71"/>
  <c r="G69"/>
  <c r="G54"/>
  <c r="G52"/>
  <c r="G15"/>
  <c r="G13"/>
  <c r="F17" i="7"/>
  <c r="D17"/>
  <c r="E17"/>
  <c r="D41"/>
  <c r="E41"/>
  <c r="C17"/>
  <c r="G15"/>
  <c r="G13"/>
  <c r="D8" i="14"/>
  <c r="E8"/>
  <c r="D84"/>
  <c r="D42" s="1"/>
  <c r="E84"/>
  <c r="E42" s="1"/>
  <c r="G116"/>
  <c r="C84"/>
  <c r="C42" s="1"/>
  <c r="C10"/>
  <c r="C8" s="1"/>
  <c r="G118"/>
  <c r="G120"/>
  <c r="G112"/>
  <c r="G110"/>
  <c r="G98"/>
  <c r="G88"/>
  <c r="G86"/>
  <c r="G82"/>
  <c r="G80"/>
  <c r="G78"/>
  <c r="G76"/>
  <c r="G74"/>
  <c r="G72"/>
  <c r="G70"/>
  <c r="G65"/>
  <c r="G63"/>
  <c r="G59"/>
  <c r="G57"/>
  <c r="G55"/>
  <c r="G50"/>
  <c r="G13"/>
  <c r="F53" i="12"/>
  <c r="F51"/>
  <c r="G16"/>
  <c r="D49"/>
  <c r="D101" s="1"/>
  <c r="G98"/>
  <c r="G91"/>
  <c r="G87"/>
  <c r="G85"/>
  <c r="G99"/>
  <c r="G83"/>
  <c r="G73"/>
  <c r="G69"/>
  <c r="G67"/>
  <c r="G64"/>
  <c r="G62"/>
  <c r="G61"/>
  <c r="G59"/>
  <c r="G57"/>
  <c r="G14"/>
  <c r="F66" i="13"/>
  <c r="F59"/>
  <c r="D10"/>
  <c r="E10"/>
  <c r="D15"/>
  <c r="E15"/>
  <c r="D59"/>
  <c r="E59"/>
  <c r="D66"/>
  <c r="E66"/>
  <c r="C66"/>
  <c r="C57" s="1"/>
  <c r="G70"/>
  <c r="G64"/>
  <c r="G62"/>
  <c r="G51"/>
  <c r="C10"/>
  <c r="C8" s="1"/>
  <c r="G48"/>
  <c r="G39"/>
  <c r="G37"/>
  <c r="C122" i="14" l="1"/>
  <c r="C78" i="13"/>
  <c r="E57"/>
  <c r="F42" i="14"/>
  <c r="D57" i="13"/>
  <c r="F57" s="1"/>
  <c r="F15"/>
  <c r="D8"/>
  <c r="E8"/>
  <c r="C40" i="6"/>
  <c r="D40"/>
  <c r="E40"/>
  <c r="F42"/>
  <c r="E9" i="9"/>
  <c r="E71" s="1"/>
  <c r="D71"/>
  <c r="F37"/>
  <c r="E16" i="15" s="1"/>
  <c r="H16" s="1"/>
  <c r="F10" i="14"/>
  <c r="F84"/>
  <c r="G84" s="1"/>
  <c r="C32" i="9"/>
  <c r="F32" s="1"/>
  <c r="E15" i="15" s="1"/>
  <c r="H15" s="1"/>
  <c r="F10" i="13"/>
  <c r="F11" i="9"/>
  <c r="G35" i="13"/>
  <c r="G97" i="12"/>
  <c r="D35" i="11"/>
  <c r="E35"/>
  <c r="E8" i="7"/>
  <c r="C35" i="11"/>
  <c r="E21" i="15"/>
  <c r="H21" s="1"/>
  <c r="D8" i="7"/>
  <c r="D45" s="1"/>
  <c r="E10" i="15"/>
  <c r="H10" s="1"/>
  <c r="E49" i="12"/>
  <c r="E101" s="1"/>
  <c r="E17" i="15"/>
  <c r="H17" s="1"/>
  <c r="G10" i="11"/>
  <c r="G39" i="9"/>
  <c r="G34"/>
  <c r="G67"/>
  <c r="G46"/>
  <c r="G89" i="6"/>
  <c r="G65"/>
  <c r="G63"/>
  <c r="G44"/>
  <c r="G10"/>
  <c r="G10" i="7"/>
  <c r="G44" i="14"/>
  <c r="G46"/>
  <c r="G90"/>
  <c r="G53" i="12"/>
  <c r="G51"/>
  <c r="G71"/>
  <c r="G11"/>
  <c r="G18"/>
  <c r="G50" i="13"/>
  <c r="G59"/>
  <c r="G46"/>
  <c r="F40" i="6" l="1"/>
  <c r="E9" i="15" s="1"/>
  <c r="H9" s="1"/>
  <c r="G10" i="14"/>
  <c r="F122"/>
  <c r="E22" i="15"/>
  <c r="H22" s="1"/>
  <c r="F8" i="13"/>
  <c r="F49" i="12"/>
  <c r="E19" i="15" s="1"/>
  <c r="H19" s="1"/>
  <c r="F101" i="12"/>
  <c r="G42" i="6"/>
  <c r="C71" i="9"/>
  <c r="F71" s="1"/>
  <c r="G11"/>
  <c r="F8" i="14"/>
  <c r="E45" i="7"/>
  <c r="F35" i="11"/>
  <c r="E18" i="15"/>
  <c r="H18" s="1"/>
  <c r="E24"/>
  <c r="H24" s="1"/>
  <c r="F9" i="9"/>
  <c r="E8" i="15"/>
  <c r="H8" s="1"/>
  <c r="G13" i="9"/>
  <c r="F84" i="13" l="1"/>
  <c r="F78"/>
  <c r="F93" i="6"/>
  <c r="E20" i="15"/>
  <c r="H20" s="1"/>
  <c r="E107" i="12"/>
  <c r="E14" i="15"/>
  <c r="H14" s="1"/>
  <c r="F76" i="9"/>
  <c r="G24" i="13"/>
  <c r="G13"/>
  <c r="G10" l="1"/>
  <c r="E58" i="1"/>
  <c r="F58"/>
  <c r="F41" i="8"/>
  <c r="F26" i="5"/>
  <c r="F12" s="1"/>
  <c r="F10"/>
  <c r="D12"/>
  <c r="E12"/>
  <c r="D10" i="4"/>
  <c r="E10"/>
  <c r="D15"/>
  <c r="E15"/>
  <c r="F15"/>
  <c r="F10"/>
  <c r="D8" i="5" l="1"/>
  <c r="D34" s="1"/>
  <c r="E8" i="4"/>
  <c r="E40" s="1"/>
  <c r="D8"/>
  <c r="D40" s="1"/>
  <c r="E8" i="5"/>
  <c r="E34" s="1"/>
  <c r="C8"/>
  <c r="G41" i="8"/>
  <c r="G34"/>
  <c r="G10" i="5"/>
  <c r="C34" l="1"/>
  <c r="F8"/>
  <c r="E7" i="15" s="1"/>
  <c r="H7" s="1"/>
  <c r="E13"/>
  <c r="H13" s="1"/>
  <c r="E12"/>
  <c r="H12" s="1"/>
  <c r="C15" i="4"/>
  <c r="E10" i="2"/>
  <c r="E8" s="1"/>
  <c r="F10"/>
  <c r="G13" i="4"/>
  <c r="G10" i="2"/>
  <c r="F8" l="1"/>
  <c r="F35" s="1"/>
  <c r="F58" i="8"/>
  <c r="C8" i="4"/>
  <c r="D35" i="2"/>
  <c r="G10" i="4"/>
  <c r="E8" i="1"/>
  <c r="H13"/>
  <c r="E35" i="2" l="1"/>
  <c r="G35" s="1"/>
  <c r="G8"/>
  <c r="E5" i="15" s="1"/>
  <c r="H5" s="1"/>
  <c r="C40" i="4"/>
  <c r="F40" s="1"/>
  <c r="F8"/>
  <c r="E6" i="15" s="1"/>
  <c r="H6" s="1"/>
  <c r="F8" i="1"/>
  <c r="F79" s="1"/>
  <c r="G58"/>
  <c r="E4" i="15" s="1"/>
  <c r="H4" s="1"/>
  <c r="H60" i="1"/>
  <c r="G8" l="1"/>
  <c r="H53"/>
  <c r="C41" i="7"/>
  <c r="C8" s="1"/>
  <c r="H20" i="2"/>
  <c r="N29" i="17"/>
  <c r="N35" s="1"/>
  <c r="M29"/>
  <c r="M35" s="1"/>
  <c r="L29"/>
  <c r="K29"/>
  <c r="J29"/>
  <c r="J35" s="1"/>
  <c r="I29"/>
  <c r="I35" s="1"/>
  <c r="H29"/>
  <c r="G29"/>
  <c r="G35" s="1"/>
  <c r="F29"/>
  <c r="F35" s="1"/>
  <c r="E29"/>
  <c r="D29"/>
  <c r="C29"/>
  <c r="C35" s="1"/>
  <c r="D35"/>
  <c r="E35"/>
  <c r="H35"/>
  <c r="K35"/>
  <c r="L35"/>
  <c r="B35"/>
  <c r="G79" i="1" l="1"/>
  <c r="C45" i="7"/>
  <c r="F45" s="1"/>
  <c r="F8"/>
  <c r="B36" i="17"/>
  <c r="G24" i="14" l="1"/>
  <c r="G22"/>
  <c r="G19"/>
  <c r="G22" i="13"/>
  <c r="G74" l="1"/>
  <c r="G54"/>
  <c r="G52"/>
  <c r="G19"/>
  <c r="G36" i="12"/>
  <c r="G24"/>
  <c r="G25"/>
  <c r="G27"/>
  <c r="G38"/>
  <c r="G27" i="11" l="1"/>
  <c r="G24"/>
  <c r="G29"/>
  <c r="G22"/>
  <c r="G19"/>
  <c r="G29" i="9"/>
  <c r="G25"/>
  <c r="G20"/>
  <c r="G22"/>
  <c r="G27"/>
  <c r="G15" i="13" l="1"/>
  <c r="G15" i="11" l="1"/>
  <c r="G17" i="9"/>
  <c r="G25" i="8"/>
  <c r="G23"/>
  <c r="G66" i="13" l="1"/>
  <c r="G27" i="8"/>
  <c r="G21"/>
  <c r="G19"/>
  <c r="G16"/>
  <c r="G37" i="7"/>
  <c r="G26"/>
  <c r="F41"/>
  <c r="E11" i="15" s="1"/>
  <c r="G43" i="7"/>
  <c r="G39"/>
  <c r="G33"/>
  <c r="G24"/>
  <c r="G21"/>
  <c r="H11" i="15" l="1"/>
  <c r="G17" i="7"/>
  <c r="G10" i="8"/>
  <c r="G41" i="7"/>
  <c r="G29" i="6" l="1"/>
  <c r="G26"/>
  <c r="G24"/>
  <c r="G21"/>
  <c r="G30" i="5" l="1"/>
  <c r="G28"/>
  <c r="G26"/>
  <c r="G23"/>
  <c r="G21"/>
  <c r="G19"/>
  <c r="G16"/>
  <c r="G17" i="6" l="1"/>
  <c r="E40" i="5"/>
  <c r="G12"/>
  <c r="G36" i="4" l="1"/>
  <c r="G28"/>
  <c r="G26"/>
  <c r="G23"/>
  <c r="G21"/>
  <c r="G18"/>
  <c r="E36" i="2"/>
  <c r="F36"/>
  <c r="G15" i="4" l="1"/>
  <c r="H29" i="2" l="1"/>
  <c r="H25"/>
  <c r="H18"/>
  <c r="H16"/>
  <c r="H14"/>
  <c r="H49" i="1"/>
  <c r="H47"/>
  <c r="H43"/>
  <c r="H41"/>
  <c r="H34"/>
  <c r="H32"/>
  <c r="H30"/>
  <c r="H28"/>
  <c r="H26"/>
  <c r="H24"/>
  <c r="H22"/>
  <c r="H19"/>
  <c r="H39"/>
  <c r="H10" i="2" l="1"/>
  <c r="G15" i="14" l="1"/>
  <c r="F126" l="1"/>
  <c r="E23" i="15"/>
  <c r="H23" s="1"/>
  <c r="H15" i="1"/>
  <c r="G85" l="1"/>
  <c r="E3" i="15"/>
  <c r="H3" l="1"/>
  <c r="E25"/>
  <c r="E33" s="1"/>
</calcChain>
</file>

<file path=xl/sharedStrings.xml><?xml version="1.0" encoding="utf-8"?>
<sst xmlns="http://schemas.openxmlformats.org/spreadsheetml/2006/main" count="1397" uniqueCount="267">
  <si>
    <t>ผล</t>
  </si>
  <si>
    <t>แผน</t>
  </si>
  <si>
    <t xml:space="preserve">  </t>
  </si>
  <si>
    <t>- ค่าใช้จ่ายเกี่ยวกับการสนับสนุนกิจการอาสาสมัครป้องกันภัยฝ่ายพลเรือน</t>
  </si>
  <si>
    <t>- ค่าวัสดุประชาสัมพันธ์</t>
  </si>
  <si>
    <t>- ค่าซื้อหนังสือวารสารฯ</t>
  </si>
  <si>
    <t>- ค่าวัสดุไฟฟ้า ประปา งานบ้าน งานครัว และงานสวน</t>
  </si>
  <si>
    <t>- ค่าเครื่องแต่งกาย</t>
  </si>
  <si>
    <t>- ค่าวัสดุยานพาหนะ</t>
  </si>
  <si>
    <t>- ค่าวัสดุอุปกรณ์คอมพิวเตอร์</t>
  </si>
  <si>
    <t>- ค่าวัสดุสำนักงานประเภทเครื่องเขียน แบบพิมพ์</t>
  </si>
  <si>
    <t>- ค่าจ้างเหมาบริการเป็นรายบุคคล</t>
  </si>
  <si>
    <t>- ค่าจ้างเหมาดูแลทรัพย์สินและรักษาความปลอดภัย</t>
  </si>
  <si>
    <t>- ค่าจ้างเหมาทำความสะอาดอาคาร</t>
  </si>
  <si>
    <t>- ค่าซ่อมแซมครุภัณฑ์</t>
  </si>
  <si>
    <t>- ค่าทำความสะอาดเครื่องนอนเวรฯ</t>
  </si>
  <si>
    <t>- เงินสมทบกองทุนประกันสังคม</t>
  </si>
  <si>
    <t>- ค่าซ่อมแซมยานพาหนะ</t>
  </si>
  <si>
    <t>- ค่าบำรุงรักษาซ่อมแซมลิฟท์</t>
  </si>
  <si>
    <t>- ค่าบำรุงรักษาซ่อมแซมเครื่องปรับอากาศ</t>
  </si>
  <si>
    <t>- เงินตอบแทนพิเศษของลูกจ้างประจำ</t>
  </si>
  <si>
    <t>- ค่าอาหารทำการนอกเวลา</t>
  </si>
  <si>
    <t>แผน/</t>
  </si>
  <si>
    <t>งาน/หมวด/รายการ</t>
  </si>
  <si>
    <t>หน่วย : บาท</t>
  </si>
  <si>
    <t>งบประมาณหลังปรับโอน</t>
  </si>
  <si>
    <t>diff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</si>
  <si>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</t>
    </r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</si>
  <si>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ค่าใช้สอย</t>
    </r>
  </si>
  <si>
    <t>- เงินสมทบกองทุนเงินทดแทน</t>
  </si>
  <si>
    <t>- จ้างเหมาบริการเป็นรายบุคคล</t>
  </si>
  <si>
    <t>- ค่าตอบแทนเจ้าหน้าที่เก็บขนมูลฝอย</t>
  </si>
  <si>
    <t>- ค่าตอบแทนเจ้าหน้าที่เก็บขนสิ่งปฏิกูล</t>
  </si>
  <si>
    <t>- ค่าวัสดุในการรักษาความสะอาด</t>
  </si>
  <si>
    <t>- ค่าวัสดุป้องกันอุบัติภัย</t>
  </si>
  <si>
    <t>- ค่าวัสดุอุปกรณ์ในการขนถ่ายสิ่งปฏิกูล</t>
  </si>
  <si>
    <t>- ค่าเครื่องแบบชุดปฏิบัติงาน</t>
  </si>
  <si>
    <t>- ค่าใช้จ่ายในการส่งเสริมการแปรรูปมูลฝอยอินทรีย์เพื่อนำมาใช้ประโยชน์</t>
  </si>
  <si>
    <t>- ค่าใช้จ่ายโครงการอาสาสมัครชักลากมูลฝอยในชุมชน</t>
  </si>
  <si>
    <t>- ค่าใช้จ่ายในการบำรุงรักษา ปรับปรุง และเพิ่มพื้นที่สีเขียว</t>
  </si>
  <si>
    <t>- ค่าจ้างเหมาดูแลทรัพย์สินและรักษาความปลอดภัยในสวนสาธารณะ</t>
  </si>
  <si>
    <t>- ค่าวัสดุอุปกรณ์ในการปลูกและบำรุงรักษาต้นไม้</t>
  </si>
  <si>
    <t>- ค่าเบี้ยประชุม</t>
  </si>
  <si>
    <t>- ค่าซ่อมแซมไฟฟ้าสาธารณะ</t>
  </si>
  <si>
    <t>- ค่าวัสดุก่อสร้าง</t>
  </si>
  <si>
    <t>- ค่าซ่อมแซมเครื่องจักรกลและเครื่องทุ่นแรง</t>
  </si>
  <si>
    <t>- ค่าวัสดุสำหรับหน่วยงานบริการเร่งด่วนกรุงเทพมหานคร (Best)</t>
  </si>
  <si>
    <t xml:space="preserve">  เพื่อแก้ไขปัญหาความเดือดร้อนของประชาชน</t>
  </si>
  <si>
    <t>- ค่าใช้จ่ายในการซ่อมแซมบำรุงรักษา ถนน ตรอก ซอย และสิ่งสาธารณะประโยชน์</t>
  </si>
  <si>
    <t>- ค่าจ้างเหมาล้างทำความสะอาดท่อระบายน้ำ</t>
  </si>
  <si>
    <t>- ค่าวัสดุอุปกรณ์ทำความสะอาดท่อระบายน้ำ</t>
  </si>
  <si>
    <t>- ค่าวัสดุอุปกรณ์บำรุงรักษาระบบระบายน้ำฯ</t>
  </si>
  <si>
    <t>- ค่าตอบแทนอาสาสมัครผู้ดูแลเด็ก</t>
  </si>
  <si>
    <t xml:space="preserve"> - ค่าซ่อมแซมยานพาหนะ</t>
  </si>
  <si>
    <t xml:space="preserve"> - ค่ารับรอง</t>
  </si>
  <si>
    <t xml:space="preserve"> - ค่าซ่อมแซมครุภัณฑ์</t>
  </si>
  <si>
    <t>- ค่าวัสดุอุปกรณ์การเรียนการสอน</t>
  </si>
  <si>
    <t>- ค่าอาหารกลางวันและอาหารเสริม (ศูนย์เด็กเล็ก)</t>
  </si>
  <si>
    <t xml:space="preserve"> </t>
  </si>
  <si>
    <t>- ค่าใช้จ่ายในการสนับสนุนการดำเนินงานของคณะกรรมการชุมชน</t>
  </si>
  <si>
    <t>- ค่าใช้จ่ายในการจัดงานวันสำคัญ อนุรักษ์ สืบสานวัฒนธรรมประเพณี</t>
  </si>
  <si>
    <t>- ค่าใช้จ่ายในการส่งเสริมกิจการสภาเด็กและเยาวชนกรุงเทพมหานคร</t>
  </si>
  <si>
    <t>- ค่าใช้จ่ายโครงการรู้ใช้ รู้เก็บ คนกรุงเทพฯ ชีวิตมั่นคง</t>
  </si>
  <si>
    <t>- ค่าใช้จ่ายศูนย์ประสานงานธนาคารสมองของกรุงเทพมหานคร</t>
  </si>
  <si>
    <t>- ค่าใช้จ่ายในการดำเนินงานศูนย์บริการและถ่ายทอดเทคโนโลยีการเกษตร</t>
  </si>
  <si>
    <t>- ค่าใช้จ่ายในการส่งเสริมกิจกรรมสโมสรกีฬาและลานกีฬา</t>
  </si>
  <si>
    <t>- ค่าใช้จ่ายในการฝึกอบรมวิชาชีพเสริมรายได้</t>
  </si>
  <si>
    <t xml:space="preserve">  และผู้ด้อยโอกาส</t>
  </si>
  <si>
    <t>- ค่าใช้จ่ายในการจ้างอาสาสมัครเจ้าหน้าที่ปฏิบัติงานด้านพัฒนาสังคม</t>
  </si>
  <si>
    <t>- ค่าใช้จ่ายโครงการกรุงเทพฯ เมืองอาหารปลอดภัย</t>
  </si>
  <si>
    <t>- ค่าใช้จ่ายโครงการกรุงเทพมหานครเขตปลอดบุหรี่</t>
  </si>
  <si>
    <t>- ค่าใช้จ่ายในการบูรณาการความร่วมมือในการพัฒนาประสิทธิภาพการแก้ไขปัญหา</t>
  </si>
  <si>
    <t xml:space="preserve">  โรคไข้เลือดออกในพื้นที่กรุงเทพมหานคร</t>
  </si>
  <si>
    <t>- ค่านิตยภัต</t>
  </si>
  <si>
    <t>- ค่าซ่อมแซมเครื่องดนตรีและอุปกรณ์</t>
  </si>
  <si>
    <t>- ค่าซ่อมแซมโรงเรียน</t>
  </si>
  <si>
    <t>- ค่าซ่อมแซมครุภัณฑ์โรงเรียนขยายโอกาส</t>
  </si>
  <si>
    <t>- ค่าซ่อมแซมเครื่องคอมพิวเตอร์โรงเรียน</t>
  </si>
  <si>
    <t>- ค่าบำรุงรักษาสระว่ายน้ำของโรงเรียน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</si>
  <si>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ค่าใช้สอย</t>
    </r>
  </si>
  <si>
    <t>- ค่าวัสดุการสอนวิทยาศาสตร์</t>
  </si>
  <si>
    <t>- ค่าสารกรองเครื่องกรองน้ำ</t>
  </si>
  <si>
    <t>- ทุนอาหารกลางวันนักเรียน</t>
  </si>
  <si>
    <t xml:space="preserve">  สังกัดกรุงเทพมหานคร</t>
  </si>
  <si>
    <t>- ค่าอาหารเช้าของนักเรียนในโรงเรียนสังกัดกรุงเทพมหานคร</t>
  </si>
  <si>
    <t>- ค่าใช้จ่ายในการประชุมครู</t>
  </si>
  <si>
    <t>- ค่าใช้จ่ายในการสอนภาษาจีน</t>
  </si>
  <si>
    <t>- ค่าใช้จ่ายโครงการเกษตรปลอดสารพิษ</t>
  </si>
  <si>
    <t>- ค่าจ้างเหมาบริษัทเอกชนทำความสะอาดในโรงเรียนสังกัดกรุงเทพมหานคร</t>
  </si>
  <si>
    <t>- ค่าจ้างเหมาดูแลทรัพย์สินและรักษาความปลอดภัยในโรงเรียนสังกัดกรุงเทพมหานคร</t>
  </si>
  <si>
    <t>- ค่าวัสดุ อุปกรณ์ เครื่องใช้ส่วนตัวของเด็กอนุบาล</t>
  </si>
  <si>
    <t>- ค่าเครื่องหมายวิชาพิเศษลูกเสือ เนตรนารี ยุวกาชาด</t>
  </si>
  <si>
    <t>- ค่าวัสดุในการผลิตสื่อการเรียนการสอนตามโครงการศูนย์วิชาการเขต</t>
  </si>
  <si>
    <t>- ค่าเครื่องหมายสัญลักษณ์ของสถานศึกษาสังกัดกรุงเทพมหานคร</t>
  </si>
  <si>
    <t>- ค่าใช้จ่ายในการจัดประชุมสัมมนาคณะกรรมการสถานศึกษาขั้นพื้นฐานโรงเรียน</t>
  </si>
  <si>
    <t>- ค่าใช้จ่ายในการสัมมนาประธานกรรมการเครือข่ายผู้ปกครองเพื่อพัฒนาโรงเรียน</t>
  </si>
  <si>
    <t>- ค่าใช้จ่ายตามโครงการเรียนฟรี เรียนดี อย่างมีคุณภาพโรงเรียนสังกัดกรุงเทพมหานคร</t>
  </si>
  <si>
    <t>- ค่าใช้จ่ายในการพัฒนาคุณภาพการดำเนินงานศูนย์วิชาการเขต</t>
  </si>
  <si>
    <t>- ค่าใช้จ่ายในการส่งเสริมสนับสนุนให้นักเรียนสร้างสรรค์ผลงานเพื่อการเรียนรู้</t>
  </si>
  <si>
    <t>- ค่าใช้จ่ายโครงการว่ายน้ำเป็น เล่นน้ำได้ปลอดภัย</t>
  </si>
  <si>
    <t>- ค่าใช้จ่ายในการส่งเสริมกีฬานักเรียนสังกัดกรุงเทพมหานคร</t>
  </si>
  <si>
    <t>- ค่าใช้จ่ายในพิธีปฏิญาณตนและสวนสนามยุวกาชาดกรุงเทพมหานคร</t>
  </si>
  <si>
    <t>- ค่าใช้จ่ายในพิธีทบทวนคำปฏิญาณและสวนสนามลูกเสือกรุงเทพมหานคร</t>
  </si>
  <si>
    <t>- ค่าใช้จ่ายโครงการภาษาอังกฤษเพื่อทักษะชีวิต</t>
  </si>
  <si>
    <t>งาน</t>
  </si>
  <si>
    <t>งบหมวด 03 06 และ 07</t>
  </si>
  <si>
    <t>งบตามข้อบัญญัติ</t>
  </si>
  <si>
    <t>หักโอนอัตโนมัติ</t>
  </si>
  <si>
    <t>รวมทั้งสิ้น</t>
  </si>
  <si>
    <t>- ค่าซ่อมแซมถนน ตรอก ซอย สะพานและสิ่งสาธารณประโยชน์</t>
  </si>
  <si>
    <t>สำนักงานเขตหลักสี่</t>
  </si>
  <si>
    <t>งานปกครอง</t>
  </si>
  <si>
    <t>งานบริหารการจัดเก็บรายได้</t>
  </si>
  <si>
    <t>ค่าตอบแทน ใช้สอยและวัสดุ</t>
  </si>
  <si>
    <t>งานการระบายน้ำและแก้ไขปัญหาน้ำท่วม</t>
  </si>
  <si>
    <t>งานปลูกและบำรุงรักษาต้นไม้</t>
  </si>
  <si>
    <t>งานพัฒนาชุมชน</t>
  </si>
  <si>
    <t>งานควบคุมอนามัย</t>
  </si>
  <si>
    <t>งานบริหารการศึกษา</t>
  </si>
  <si>
    <t>วงเงินงบประมาณ</t>
  </si>
  <si>
    <t xml:space="preserve"> - ค่าจ้างเหมาบริการเป็นรายบุคคลโครงการจ้างเจ้าหน้าที่ปฏิบัติงานตามนโยบายการดำเนินงานศูนย์ส่งเสริมการบริหารเงินออมครอบครัว</t>
  </si>
  <si>
    <t>- ค่าจ้างเหมาบริการเป็นรายบุคคลโครงการจ้างเจ้าหน้าที่เพื่อปฏิบัติงานในโครงการกรุงเทพฯ เมืองอาหารปลอดภัย</t>
  </si>
  <si>
    <t>- ค่าจ้างเหมาบริการเป็นรายบุคคลโครงการจ้างงานเพื่อพัฒนาคุณภาพงานสุขาภิบาลอาหารในกรุงเทพมหานคร</t>
  </si>
  <si>
    <t>- ค่าจ้างเหมาบริการเป็นรายบุคคลโครงการจ้างเจ้าหน้าที่เพื่อปฏิบัติงานในโครงการตรวจสอบหาสารเคมีกำจัดศัตรูพืชตกค้างในผักสด</t>
  </si>
  <si>
    <t>รายละเอียดการเบิกจ่ายงบประมาณรายการที่ต้องก่อหนี้ผูกพันทั้งจำนวน</t>
  </si>
  <si>
    <t>งบประมาณรายจ่ายประจำปี 2565</t>
  </si>
  <si>
    <t>งาน/โครงการตามแผนยุทธศาสตร์/งบรายจ่าย/รายการ</t>
  </si>
  <si>
    <t xml:space="preserve">- ค่าใช้จ่ายในการสนับสนุนเจ้าหน้าที่ปฏิบัติงานด้านเด็ก สตรี ผู้สูงอายุ คนพิการ </t>
  </si>
  <si>
    <t>ฝ่าย : ปกครอง</t>
  </si>
  <si>
    <t xml:space="preserve">     1) งบบุคลากร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</si>
  <si>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 ใช้สอยและวัสดุ</t>
    </r>
  </si>
  <si>
    <t xml:space="preserve">     2) งบดำเนินงาน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</si>
  <si>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ค่าวัสดุ</t>
    </r>
  </si>
  <si>
    <t xml:space="preserve">     3) งบรายจ่ายอื่น</t>
  </si>
  <si>
    <t>ฝ่าย : ทะเบียน</t>
  </si>
  <si>
    <t>ฝ่าย : การคลัง</t>
  </si>
  <si>
    <t>ฝ่าย : รายได้</t>
  </si>
  <si>
    <t>ฝ่าย : เทศกิจ</t>
  </si>
  <si>
    <t>ฝ่ายเทศกิจ</t>
  </si>
  <si>
    <t>ฝ่าย : สิ่งแวดล้อมและสุขาภิบาล</t>
  </si>
  <si>
    <t>งบประมาณตามโครงสร้างงาน</t>
  </si>
  <si>
    <t xml:space="preserve">     งานที่ 1 : อำนวยการและบริหารสำนักงานเขต</t>
  </si>
  <si>
    <t xml:space="preserve">     งานที่ 2 : ปกครอง</t>
  </si>
  <si>
    <t xml:space="preserve">     งานที่ 1 : บริหารทั่วไปและบริการทะเบียน</t>
  </si>
  <si>
    <t xml:space="preserve">     งานที่ 1 : บริหารงานทั่วไปและบริหารการคลัง</t>
  </si>
  <si>
    <t xml:space="preserve">    งานที่ 1 : บริหารงานทั่วไปและจัดเก็บรายได้</t>
  </si>
  <si>
    <t xml:space="preserve">     งานที่ 1 : บริหารทั่วไปและสอบสวนดำเนินคดี</t>
  </si>
  <si>
    <t xml:space="preserve">     งานที่ 2 : ตรวจและบังคับใช้กฎหมาย</t>
  </si>
  <si>
    <t xml:space="preserve">     งานที่ 1 : บริหารทั่วไปฝ่ายสิ่งแวดล้อมและสุขาภิบาล</t>
  </si>
  <si>
    <t xml:space="preserve">     งานที่ 2 : สุขาภิบาลอาหารและอนามัยสิ่งแวดล้อม</t>
  </si>
  <si>
    <t xml:space="preserve">     งานที่ 3 : ป้องกันและควบคุมโรค</t>
  </si>
  <si>
    <t>ฝ่ายสิ่งแวดล้อม</t>
  </si>
  <si>
    <t>ฝ่าย : พัฒนาชุมชนและสวัสดิการสังคม</t>
  </si>
  <si>
    <t>ฝ่ายพัฒนา</t>
  </si>
  <si>
    <t>ฝ่าย : การศึกษา</t>
  </si>
  <si>
    <t xml:space="preserve">     งานที่ 1 : บริหารทั่วไปฝ่ายการศึกษา</t>
  </si>
  <si>
    <t xml:space="preserve">     งานที่ 1 : บริหารทั่วไปฝ่ายพัฒนาชุมชน</t>
  </si>
  <si>
    <t xml:space="preserve">     งานที่ 2 : พัฒนาชุมชนและบริการสังคม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</si>
  <si>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ค่าวัสดุ</t>
    </r>
  </si>
  <si>
    <t xml:space="preserve">     งานที่ 2 : งบประมาณโรงเรียน</t>
  </si>
  <si>
    <t xml:space="preserve">     4) งบรายจ่ายอื่น</t>
  </si>
  <si>
    <t>- ค่าใช้จ่ายในการเปิดโลกกว้างสร้างเส้นทาสู่อาชีพ</t>
  </si>
  <si>
    <t>- ค่าใช้จ่ายในการเสริมสร้างศักยภาพของเด็กและเยาวชนเพื่อคุณภาพชีวิตที่ดี
  ในพื้นที่กรุงเทพมหานคร ตามพระราชดำริสมเด็จพระกนิษฐาธิราชเจ้า 
  กรมสมเด็จพระเทพรัตนราชสุดาฯ สยามบรมราชกุมารี</t>
  </si>
  <si>
    <t>ฝ่ายการศึกษา</t>
  </si>
  <si>
    <t>ฝ่าย : รักษาความสะอาดและสวนสาธารณะ</t>
  </si>
  <si>
    <t xml:space="preserve">     งานที่ 4 : ดูแลสวนและพื้นที่สีเขียว</t>
  </si>
  <si>
    <t xml:space="preserve">     งานที่ 1 : บริหารงานทั่วไปฝ่ายรักษาความสะอาด</t>
  </si>
  <si>
    <t xml:space="preserve">     งานที่ 2 : กวาดทำความสะอาดที่และทางสาธารณะ</t>
  </si>
  <si>
    <t xml:space="preserve">     งานที่ 3 : เก็บขยะมูลฝอยและขนถ่ายสิ่งปฏิกูล</t>
  </si>
  <si>
    <t>ฝ่าย : โยธา</t>
  </si>
  <si>
    <t xml:space="preserve">     งานที่ 1 : บริหารทั่วไปฝ่ายโยธา</t>
  </si>
  <si>
    <t xml:space="preserve">     งานที่ 2 : อนุญาตก่อสร้าง ควบคุมอาคารและผังเมือง</t>
  </si>
  <si>
    <t xml:space="preserve">     งานที่ 3 : บำรุงรักษาซ่อมแซม</t>
  </si>
  <si>
    <t>ฝ่ายโยธา</t>
  </si>
  <si>
    <t xml:space="preserve">     งานที่ 4 : ระบายน้ำและแก้ไขปัญหาน้ำท่วม</t>
  </si>
  <si>
    <t>งานที่ 1 : อำนวยการและบริหารสำนักงานเขต</t>
  </si>
  <si>
    <t>งานที่ 2 : ปกครอง</t>
  </si>
  <si>
    <t>งานที่ 1 : บริหารทั่วไปและบริการทะเบียน</t>
  </si>
  <si>
    <t>งานที่ 1 : บริหารงานทั่วไปและบริหารการคลัง</t>
  </si>
  <si>
    <t>งานที่ 1 : บริหารงานทั่วไปและจัดเก็บรายได้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</si>
  <si>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</si>
  <si>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</si>
  <si>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</si>
  <si>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</si>
  <si>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</si>
  <si>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</si>
  <si>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</si>
  <si>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</si>
  <si>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</si>
  <si>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</si>
  <si>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</si>
  <si>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</si>
  <si>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</si>
  <si>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</si>
  <si>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</si>
  <si>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งานที่ 1 : บริหารทั่วไปฝ่ายการศึกษา</t>
  </si>
  <si>
    <t>งานที่ 2 : งบประมาณโรงเรียน</t>
  </si>
  <si>
    <t>test</t>
  </si>
  <si>
    <t>- ค่าจ้างทำความสะอาดอาคาร</t>
  </si>
  <si>
    <t>- ค่าวัสดุสำนักงาน</t>
  </si>
  <si>
    <t>- ค่าใช้จ่ายโครงการอาสาสมัครกรุงเทพมหานครด้านการป้องกันและแก้ไขปัญหายาและ</t>
  </si>
  <si>
    <t xml:space="preserve">  สารเสพติด</t>
  </si>
  <si>
    <t>- ค่าจ้างเหมาบริการเป็นรายบุคคลเพื่อช่วยปฏิบัติงานฝ่ายทะเบียน</t>
  </si>
  <si>
    <t>- ค่าจ้างเหมาบริการเป็นรายบุคคลเพื่อช่วยปฏิบัติงานตามนโยบายปรับปรุงการให้บริการ</t>
  </si>
  <si>
    <t xml:space="preserve">  ของสำนักงานเขต</t>
  </si>
  <si>
    <t xml:space="preserve">     5) งบรายจ่ายอื่น</t>
  </si>
  <si>
    <t>หน่วยงาน : สำนักงานเขตหนองแขม</t>
  </si>
  <si>
    <t>- ค่าจ้างเหมาบริการเป็นรายบุคคลเพื่อปฏิบัติงานในฝ่ายรายได้สำนักงานเขตหนองแขม</t>
  </si>
  <si>
    <t>หน่วยงาน : สำนักงานหนองแขม</t>
  </si>
  <si>
    <t xml:space="preserve"> -เงินสมทบกองทุนประกันสังคม</t>
  </si>
  <si>
    <t xml:space="preserve"> -ค่าเครื่องแต่งกาย</t>
  </si>
  <si>
    <t>- ค่ารับรอง</t>
  </si>
  <si>
    <t xml:space="preserve"> - ค่าจ้างทำความสะอาดอาคาร</t>
  </si>
  <si>
    <t xml:space="preserve"> - ค่าจ้างเหมาดูแลทรัพย์สินและรักษาความปลอดภัย</t>
  </si>
  <si>
    <t xml:space="preserve"> - ค่าจ้างเหมาบริการเป็นรายบุคคล</t>
  </si>
  <si>
    <t>- ค่าวัสดุเครื่องจักรกลและเครื่องทุ่นแรง</t>
  </si>
  <si>
    <t xml:space="preserve">     3) งบอุดหนุน</t>
  </si>
  <si>
    <t>แผน/ผลการปฏิบัติงานและการใช้จ่ายงบประมาณรายจ่ายประจำปีงบประมาณ พ.ศ. 2566</t>
  </si>
  <si>
    <t>งบประมาณ</t>
  </si>
  <si>
    <t>ทั้งสิ้น</t>
  </si>
  <si>
    <t>- ค่าจ้างเหมาบริการเป็นรายบุคคล พนักงานรักษาความปลอดภัย</t>
  </si>
  <si>
    <t>- ค่าใช้จ่ายในการสัมมนาเพื่อพัฒนาองค์การ</t>
  </si>
  <si>
    <t>- ค่าใช้จ่ายในการฝึกอบรม สัมมนา และศึกษาดูงานเพื่อพัฒนาศักยภาพของอาสาสมัคร</t>
  </si>
  <si>
    <t xml:space="preserve">  ป้องกันภัยฝ่ายพลเรือน (อปพร.) เขตหนองแขม และผู้ที่เกี่ยวข้อง</t>
  </si>
  <si>
    <t>โครงการตามแผนยุทธศาสตร์</t>
  </si>
  <si>
    <t>- ชดใช้เงินยืมสะสมปี 2564 เพื่อทดรองจ่ายเป็นเงินเดือนและค่าจ้างประจำ ค่าจ้างชั่วคราว</t>
  </si>
  <si>
    <t xml:space="preserve">  และเงินอื่นที่เบิกจ่ายในลักษณะเดียวกัน สำหรับงวดเดือนกรกฎาคม 2564</t>
  </si>
  <si>
    <t xml:space="preserve">  และเงินอื่นที่เบิกจ่ายในลักษณะเดียวกัน สำหรับงวดเดือนสิงหาคม 2564</t>
  </si>
  <si>
    <t>- ค่าใช้จ่ายในการพัฒนาศักยภาพด้านการรักษาความสะอาด เพื่อบูรณาการสร้างเครือข่าย</t>
  </si>
  <si>
    <t xml:space="preserve">  ทูตประชาสัมพันธ์ (CBM) Junior) ในพื้นที่เขตหนองแขม</t>
  </si>
  <si>
    <t xml:space="preserve"> - ค่าเครื่องแต่งกาย</t>
  </si>
  <si>
    <t xml:space="preserve"> '- ค่าเครื่องแต่งกาย</t>
  </si>
  <si>
    <t>- ค่าเบี้ยประชุมคณะกรรมการจัดระเบียบหาบเร่-แผงลอยระดับเขต</t>
  </si>
  <si>
    <t xml:space="preserve">           -</t>
  </si>
  <si>
    <t>- ค่าตอบแทนพิเศษลูกจ้างประจำ</t>
  </si>
  <si>
    <t>- ค่าตอบแทนกรรมการชุมชน</t>
  </si>
  <si>
    <t>- ค่าใช้จ่ายในการพัฒนาศักยภาพกรรมการชุมชนผู้นำชุมชนและผู้เกี่ยวข้อง สำนักงานเขต</t>
  </si>
  <si>
    <t xml:space="preserve">  หนองแชม</t>
  </si>
  <si>
    <t>- ค่าใช้จ่ายในการจ้างงานคนพิการเพื่อปฏิบัติงาน</t>
  </si>
  <si>
    <t>- ค่าใช้จ่ายในการจัดสวัสดิการ การสงเคราะห์ช่วยเหลือเด็ก สตรี ครอบครัว ผู้ด้อยโอกาส</t>
  </si>
  <si>
    <t xml:space="preserve">  ผู้สูงอายุและคนพิการ</t>
  </si>
  <si>
    <t>- ค่าจ้างเหมาบริการเป็นรายบุคคล ตำแหน่งนักวิชาการสุขาภิบาล</t>
  </si>
  <si>
    <t>- ค่าจ้างเหมาบริการเป็นรายบุคคล ตำแหน่งนักประชาสัมพันธ์</t>
  </si>
  <si>
    <t>- ค่าจ้างเหมาบริการเป็นรายบุคคล ตำแหน่งนักวิทยาศาตร์</t>
  </si>
  <si>
    <t>- ค่าใช้จ่ายโครงการกรุงเทพฯ เมืองแห่งสุขาภิบาล สิ่งแวดล้อมที่ดี สะอาด ปลอดดภัย</t>
  </si>
  <si>
    <t>งบประมาณโครงการตามแผนยุทธศาสตร์</t>
  </si>
  <si>
    <t>- ค่าใช้จ่ายในการป้องกันควบคุมและแก้ไขปัญหาโรคไข้เลือดออกเขตหนองแขม</t>
  </si>
  <si>
    <t>- ค่าจ้างทำความสะอาดโรงเรียนในสังกัดกรุงเทพมหานคร</t>
  </si>
  <si>
    <t>- ค่าจ้างเหมาดูแลทรัพย์สินและรักษาความปลอดภัยโรงเรียนในสังกัดกรุงเทพมหานคร</t>
  </si>
  <si>
    <t>- ค่าวัสดุอุปกรณ์การสอน (โรงเรียนขยายโอกาสฯ)</t>
  </si>
  <si>
    <t>- ค่าใช้จ่ายในการฝึกอบรมนายหมู่ลูกเสีอสามัญ สามัญรุ่นใหญ่ และหัวหน้าหน่วยยุวกาชาด</t>
  </si>
  <si>
    <t>- ค่าใช้จ่ายในการพัฒนาคุณภาพเครือข่ายโรงเรียนสังกัดกรุงเทพมหานคร</t>
  </si>
  <si>
    <t>- ค่าจ้างเหมาบริการเป็นรายบุคคลเพื่อปฏิบัติงานตำแหน่งเจ้าหน้าที่ประสานงานประชาชน</t>
  </si>
  <si>
    <t xml:space="preserve">             -</t>
  </si>
  <si>
    <t>- ค่าใช้จ่ายในการอบรมอาสาสมัครป้องกันภัยฝ่ายพลเรือน (หลักสูตรทบทวน)</t>
  </si>
  <si>
    <t>งวดที่ 1 (ตุลาคม 2565 - มกราคม 2566)</t>
  </si>
  <si>
    <t>งวดที่ 2 (กุมภาพันธ์ 2566 - พฤษภาคม 2566)</t>
  </si>
  <si>
    <t>งวดที่ 3 (มิถุนายน 2566 - กันยายน 2566)</t>
  </si>
  <si>
    <t>- ค่าตอบแทนเจ้าหน้าที่เก็บขนสิ่งปฏิกูลประเภทไขมัน</t>
  </si>
  <si>
    <t xml:space="preserve"> -เงินค่าตอบแทนพิเศษของลูกจ้างประจำ</t>
  </si>
  <si>
    <t xml:space="preserve"> -ค่าวัสดุอุปกรณ์กีฬา</t>
  </si>
  <si>
    <t>- เก้าอี้พลาสติกแบบมีพนักพิง 500 ตัว</t>
  </si>
  <si>
    <t xml:space="preserve"> - ค่าเบี้ยเลี้ยง และค่าพาหนะส่งเสริมการเกษตร</t>
  </si>
  <si>
    <t>โครงการตามแผนยุทธศาสตร์บูรณาการ</t>
  </si>
  <si>
    <t>- ค่าจ้างเหมาบริการเป็นรายบุคคล ตำแหน่งพนักงานธุรการ</t>
  </si>
  <si>
    <t>- ค่าจ้างเหมาตัดเย็บชุดแต่งกายเจ้าหน้าที่ที่ปฏิบัติงานประจำศูนย์บริหารราชการฉับไว</t>
  </si>
  <si>
    <t xml:space="preserve">  ใสสะอาด (Bangkok Fast &amp; Clear : BFC)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</si>
</sst>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u/>
      <sz val="16"/>
      <color theme="1"/>
      <name val="TH SarabunPSK"/>
      <family val="2"/>
    </font>
    <font>
      <sz val="16"/>
      <color rgb="FFFFFF00"/>
      <name val="TH SarabunPSK"/>
      <family val="2"/>
    </font>
    <font>
      <u/>
      <sz val="16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59">
    <xf numFmtId="0" fontId="0" fillId="0" borderId="0" xfId="0"/>
    <xf numFmtId="0" fontId="3" fillId="0" borderId="0" xfId="0" applyFont="1" applyBorder="1" applyAlignment="1">
      <alignment horizontal="left" vertical="center" indent="4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3" fontId="3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43" fontId="4" fillId="0" borderId="0" xfId="1" applyFont="1"/>
    <xf numFmtId="43" fontId="3" fillId="0" borderId="0" xfId="1" applyFont="1"/>
    <xf numFmtId="43" fontId="4" fillId="0" borderId="0" xfId="1" applyFont="1" applyAlignment="1">
      <alignment vertical="top"/>
    </xf>
    <xf numFmtId="0" fontId="4" fillId="0" borderId="0" xfId="0" applyFont="1" applyAlignment="1">
      <alignment horizontal="center"/>
    </xf>
    <xf numFmtId="43" fontId="3" fillId="0" borderId="0" xfId="0" applyNumberFormat="1" applyFont="1"/>
    <xf numFmtId="43" fontId="4" fillId="0" borderId="0" xfId="0" applyNumberFormat="1" applyFont="1"/>
    <xf numFmtId="43" fontId="5" fillId="0" borderId="0" xfId="1" applyFont="1"/>
    <xf numFmtId="9" fontId="3" fillId="3" borderId="3" xfId="2" applyFont="1" applyFill="1" applyBorder="1" applyAlignment="1">
      <alignment vertical="center"/>
    </xf>
    <xf numFmtId="9" fontId="6" fillId="3" borderId="2" xfId="2" applyFont="1" applyFill="1" applyBorder="1" applyAlignment="1">
      <alignment horizontal="left" vertical="center" indent="5"/>
    </xf>
    <xf numFmtId="9" fontId="3" fillId="0" borderId="3" xfId="2" applyFont="1" applyBorder="1" applyAlignment="1">
      <alignment vertical="center"/>
    </xf>
    <xf numFmtId="9" fontId="3" fillId="0" borderId="2" xfId="2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9" fontId="3" fillId="0" borderId="1" xfId="2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9" fontId="4" fillId="0" borderId="3" xfId="2" quotePrefix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9" fontId="4" fillId="0" borderId="4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4" fillId="0" borderId="4" xfId="2" quotePrefix="1" applyFont="1" applyBorder="1" applyAlignment="1">
      <alignment vertical="center"/>
    </xf>
    <xf numFmtId="9" fontId="4" fillId="0" borderId="2" xfId="2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indent="2"/>
    </xf>
    <xf numFmtId="0" fontId="4" fillId="0" borderId="4" xfId="0" quotePrefix="1" applyFont="1" applyFill="1" applyBorder="1" applyAlignment="1">
      <alignment vertical="center"/>
    </xf>
    <xf numFmtId="9" fontId="6" fillId="0" borderId="4" xfId="2" applyFont="1" applyFill="1" applyBorder="1" applyAlignment="1">
      <alignment vertical="center"/>
    </xf>
    <xf numFmtId="0" fontId="4" fillId="0" borderId="4" xfId="0" quotePrefix="1" applyFont="1" applyBorder="1" applyAlignment="1">
      <alignment vertical="center"/>
    </xf>
    <xf numFmtId="9" fontId="6" fillId="0" borderId="4" xfId="2" quotePrefix="1" applyFont="1" applyFill="1" applyBorder="1" applyAlignment="1">
      <alignment vertical="center" wrapText="1"/>
    </xf>
    <xf numFmtId="0" fontId="4" fillId="0" borderId="4" xfId="0" quotePrefix="1" applyFont="1" applyBorder="1" applyAlignment="1">
      <alignment vertical="top" wrapText="1"/>
    </xf>
    <xf numFmtId="9" fontId="6" fillId="0" borderId="4" xfId="2" quotePrefix="1" applyFont="1" applyFill="1" applyBorder="1" applyAlignment="1">
      <alignment vertical="center"/>
    </xf>
    <xf numFmtId="9" fontId="6" fillId="0" borderId="3" xfId="2" applyFont="1" applyBorder="1" applyAlignment="1">
      <alignment vertical="top"/>
    </xf>
    <xf numFmtId="9" fontId="4" fillId="0" borderId="4" xfId="2" quotePrefix="1" applyFont="1" applyBorder="1" applyAlignment="1">
      <alignment vertical="top"/>
    </xf>
    <xf numFmtId="9" fontId="6" fillId="0" borderId="4" xfId="2" applyFont="1" applyFill="1" applyBorder="1" applyAlignment="1">
      <alignment vertical="top"/>
    </xf>
    <xf numFmtId="9" fontId="6" fillId="0" borderId="4" xfId="2" quotePrefix="1" applyFont="1" applyFill="1" applyBorder="1" applyAlignment="1">
      <alignment vertical="top"/>
    </xf>
    <xf numFmtId="187" fontId="6" fillId="4" borderId="2" xfId="0" applyNumberFormat="1" applyFont="1" applyFill="1" applyBorder="1" applyAlignment="1">
      <alignment horizontal="left" vertical="center" indent="2"/>
    </xf>
    <xf numFmtId="187" fontId="4" fillId="4" borderId="4" xfId="0" quotePrefix="1" applyNumberFormat="1" applyFont="1" applyFill="1" applyBorder="1" applyAlignment="1">
      <alignment horizontal="left" vertical="center"/>
    </xf>
    <xf numFmtId="187" fontId="4" fillId="0" borderId="4" xfId="0" quotePrefix="1" applyNumberFormat="1" applyFont="1" applyFill="1" applyBorder="1" applyAlignment="1">
      <alignment vertical="center"/>
    </xf>
    <xf numFmtId="187" fontId="4" fillId="4" borderId="4" xfId="0" quotePrefix="1" applyNumberFormat="1" applyFont="1" applyFill="1" applyBorder="1" applyAlignment="1">
      <alignment vertical="center"/>
    </xf>
    <xf numFmtId="187" fontId="4" fillId="4" borderId="4" xfId="0" quotePrefix="1" applyNumberFormat="1" applyFont="1" applyFill="1" applyBorder="1" applyAlignment="1">
      <alignment vertical="center" wrapText="1"/>
    </xf>
    <xf numFmtId="43" fontId="3" fillId="3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187" fontId="4" fillId="4" borderId="4" xfId="0" quotePrefix="1" applyNumberFormat="1" applyFont="1" applyFill="1" applyBorder="1" applyAlignment="1">
      <alignment vertical="top" wrapText="1"/>
    </xf>
    <xf numFmtId="9" fontId="4" fillId="0" borderId="4" xfId="2" quotePrefix="1" applyFont="1" applyFill="1" applyBorder="1" applyAlignment="1">
      <alignment vertical="center"/>
    </xf>
    <xf numFmtId="9" fontId="4" fillId="0" borderId="4" xfId="2" quotePrefix="1" applyFont="1" applyBorder="1" applyAlignment="1">
      <alignment vertical="top" wrapText="1"/>
    </xf>
    <xf numFmtId="9" fontId="4" fillId="0" borderId="3" xfId="2" quotePrefix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43" fontId="4" fillId="0" borderId="0" xfId="0" applyNumberFormat="1" applyFont="1" applyAlignment="1">
      <alignment vertical="top"/>
    </xf>
    <xf numFmtId="9" fontId="4" fillId="0" borderId="4" xfId="2" quotePrefix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left" vertical="center" indent="2"/>
    </xf>
    <xf numFmtId="4" fontId="4" fillId="4" borderId="4" xfId="0" quotePrefix="1" applyNumberFormat="1" applyFont="1" applyFill="1" applyBorder="1" applyAlignment="1">
      <alignment vertical="center"/>
    </xf>
    <xf numFmtId="49" fontId="4" fillId="4" borderId="4" xfId="0" quotePrefix="1" applyNumberFormat="1" applyFont="1" applyFill="1" applyBorder="1" applyAlignment="1">
      <alignment vertical="center"/>
    </xf>
    <xf numFmtId="4" fontId="4" fillId="4" borderId="4" xfId="0" quotePrefix="1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top" wrapText="1"/>
    </xf>
    <xf numFmtId="0" fontId="11" fillId="0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top" wrapText="1"/>
    </xf>
    <xf numFmtId="0" fontId="9" fillId="0" borderId="2" xfId="0" applyFont="1" applyBorder="1" applyAlignment="1">
      <alignment vertical="center"/>
    </xf>
    <xf numFmtId="0" fontId="11" fillId="0" borderId="3" xfId="0" quotePrefix="1" applyFont="1" applyBorder="1" applyAlignment="1">
      <alignment vertical="center"/>
    </xf>
    <xf numFmtId="0" fontId="11" fillId="0" borderId="4" xfId="0" quotePrefix="1" applyFont="1" applyBorder="1" applyAlignment="1">
      <alignment vertical="center"/>
    </xf>
    <xf numFmtId="0" fontId="11" fillId="0" borderId="2" xfId="0" quotePrefix="1" applyFont="1" applyBorder="1" applyAlignment="1">
      <alignment vertical="center"/>
    </xf>
    <xf numFmtId="0" fontId="13" fillId="0" borderId="4" xfId="3" quotePrefix="1" applyFont="1" applyBorder="1" applyAlignment="1"/>
    <xf numFmtId="0" fontId="13" fillId="0" borderId="4" xfId="3" quotePrefix="1" applyFont="1" applyBorder="1" applyAlignment="1">
      <alignment vertical="top"/>
    </xf>
    <xf numFmtId="0" fontId="13" fillId="0" borderId="2" xfId="3" quotePrefix="1" applyFont="1" applyBorder="1" applyAlignment="1">
      <alignment vertical="top"/>
    </xf>
    <xf numFmtId="0" fontId="13" fillId="0" borderId="2" xfId="3" applyFont="1" applyBorder="1" applyAlignment="1"/>
    <xf numFmtId="0" fontId="13" fillId="0" borderId="3" xfId="3" quotePrefix="1" applyFont="1" applyBorder="1" applyAlignment="1">
      <alignment vertical="top" wrapText="1"/>
    </xf>
    <xf numFmtId="0" fontId="13" fillId="0" borderId="4" xfId="3" quotePrefix="1" applyFont="1" applyBorder="1" applyAlignment="1">
      <alignment vertical="top" wrapText="1"/>
    </xf>
    <xf numFmtId="0" fontId="13" fillId="0" borderId="2" xfId="3" quotePrefix="1" applyFont="1" applyBorder="1" applyAlignment="1">
      <alignment vertical="top" wrapText="1"/>
    </xf>
    <xf numFmtId="0" fontId="13" fillId="0" borderId="2" xfId="3" quotePrefix="1" applyFont="1" applyBorder="1" applyAlignment="1"/>
    <xf numFmtId="0" fontId="8" fillId="0" borderId="0" xfId="0" applyFont="1"/>
    <xf numFmtId="43" fontId="8" fillId="0" borderId="0" xfId="0" applyNumberFormat="1" applyFont="1"/>
    <xf numFmtId="43" fontId="8" fillId="0" borderId="0" xfId="1" applyFont="1"/>
    <xf numFmtId="43" fontId="8" fillId="0" borderId="7" xfId="1" applyFont="1" applyBorder="1"/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10" xfId="0" applyFont="1" applyBorder="1"/>
    <xf numFmtId="0" fontId="8" fillId="0" borderId="5" xfId="0" applyFont="1" applyBorder="1"/>
    <xf numFmtId="43" fontId="8" fillId="0" borderId="11" xfId="1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3" fontId="13" fillId="0" borderId="0" xfId="1" applyFont="1" applyAlignment="1">
      <alignment vertical="top"/>
    </xf>
    <xf numFmtId="43" fontId="8" fillId="0" borderId="0" xfId="1" applyFont="1" applyFill="1"/>
    <xf numFmtId="43" fontId="8" fillId="0" borderId="9" xfId="1" applyFont="1" applyFill="1" applyBorder="1"/>
    <xf numFmtId="43" fontId="8" fillId="0" borderId="8" xfId="1" applyFont="1" applyFill="1" applyBorder="1"/>
    <xf numFmtId="0" fontId="0" fillId="0" borderId="0" xfId="0" applyBorder="1"/>
    <xf numFmtId="0" fontId="3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indent="2"/>
    </xf>
    <xf numFmtId="0" fontId="4" fillId="0" borderId="1" xfId="0" applyFont="1" applyBorder="1" applyAlignment="1">
      <alignment vertical="center"/>
    </xf>
    <xf numFmtId="43" fontId="0" fillId="0" borderId="0" xfId="0" applyNumberFormat="1"/>
    <xf numFmtId="43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3" fontId="4" fillId="5" borderId="1" xfId="1" applyFont="1" applyFill="1" applyBorder="1" applyAlignment="1">
      <alignment horizontal="left" vertical="center" indent="2"/>
    </xf>
    <xf numFmtId="43" fontId="4" fillId="0" borderId="1" xfId="1" applyFont="1" applyFill="1" applyBorder="1" applyAlignment="1">
      <alignment horizontal="left" vertical="center" indent="2"/>
    </xf>
    <xf numFmtId="43" fontId="4" fillId="0" borderId="1" xfId="1" applyFont="1" applyFill="1" applyBorder="1" applyAlignment="1">
      <alignment horizontal="left" vertical="center"/>
    </xf>
    <xf numFmtId="43" fontId="4" fillId="2" borderId="1" xfId="1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9" fontId="6" fillId="0" borderId="4" xfId="2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3" fontId="4" fillId="0" borderId="2" xfId="1" applyFont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43" fontId="15" fillId="0" borderId="0" xfId="1" applyFont="1"/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9" fontId="3" fillId="2" borderId="3" xfId="2" quotePrefix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9" fontId="3" fillId="2" borderId="2" xfId="2" quotePrefix="1" applyFont="1" applyFill="1" applyBorder="1" applyAlignment="1">
      <alignment vertical="center"/>
    </xf>
    <xf numFmtId="9" fontId="6" fillId="0" borderId="4" xfId="2" applyFont="1" applyBorder="1" applyAlignment="1">
      <alignment vertical="center"/>
    </xf>
    <xf numFmtId="188" fontId="4" fillId="0" borderId="0" xfId="1" applyNumberFormat="1" applyFont="1" applyAlignment="1">
      <alignment vertical="top"/>
    </xf>
    <xf numFmtId="43" fontId="4" fillId="6" borderId="1" xfId="1" applyFont="1" applyFill="1" applyBorder="1" applyAlignment="1">
      <alignment vertical="center"/>
    </xf>
    <xf numFmtId="43" fontId="4" fillId="6" borderId="1" xfId="1" applyFont="1" applyFill="1" applyBorder="1" applyAlignment="1">
      <alignment horizontal="left" vertical="center" indent="2"/>
    </xf>
    <xf numFmtId="43" fontId="4" fillId="6" borderId="1" xfId="1" applyFont="1" applyFill="1" applyBorder="1" applyAlignment="1">
      <alignment horizontal="left" vertical="center"/>
    </xf>
    <xf numFmtId="0" fontId="7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43" fontId="4" fillId="0" borderId="0" xfId="1" applyFont="1" applyFill="1"/>
    <xf numFmtId="43" fontId="4" fillId="0" borderId="0" xfId="0" applyNumberFormat="1" applyFont="1" applyFill="1"/>
    <xf numFmtId="0" fontId="0" fillId="0" borderId="0" xfId="0" applyFill="1"/>
    <xf numFmtId="9" fontId="4" fillId="0" borderId="3" xfId="2" quotePrefix="1" applyFont="1" applyBorder="1" applyAlignment="1">
      <alignment vertical="center"/>
    </xf>
    <xf numFmtId="0" fontId="4" fillId="0" borderId="3" xfId="0" quotePrefix="1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9" fontId="4" fillId="0" borderId="4" xfId="2" applyFont="1" applyBorder="1" applyAlignment="1">
      <alignment vertical="center"/>
    </xf>
    <xf numFmtId="9" fontId="4" fillId="0" borderId="4" xfId="2" applyFont="1" applyBorder="1" applyAlignment="1">
      <alignment vertical="top"/>
    </xf>
    <xf numFmtId="4" fontId="4" fillId="4" borderId="4" xfId="0" applyNumberFormat="1" applyFont="1" applyFill="1" applyBorder="1" applyAlignment="1">
      <alignment vertical="center" wrapText="1"/>
    </xf>
    <xf numFmtId="9" fontId="4" fillId="0" borderId="1" xfId="2" quotePrefix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43" fontId="3" fillId="4" borderId="0" xfId="1" applyFont="1" applyFill="1" applyBorder="1" applyAlignment="1">
      <alignment horizontal="center" vertical="center"/>
    </xf>
    <xf numFmtId="43" fontId="4" fillId="4" borderId="0" xfId="1" applyFont="1" applyFill="1"/>
    <xf numFmtId="0" fontId="4" fillId="4" borderId="0" xfId="0" applyFont="1" applyFill="1"/>
    <xf numFmtId="0" fontId="0" fillId="4" borderId="0" xfId="0" applyFill="1"/>
    <xf numFmtId="43" fontId="3" fillId="3" borderId="0" xfId="1" applyFont="1" applyFill="1" applyBorder="1" applyAlignment="1">
      <alignment horizontal="center" vertical="center"/>
    </xf>
    <xf numFmtId="9" fontId="4" fillId="0" borderId="2" xfId="2" quotePrefix="1" applyFont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9" fontId="4" fillId="0" borderId="2" xfId="2" quotePrefix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187" fontId="4" fillId="0" borderId="4" xfId="1" quotePrefix="1" applyNumberFormat="1" applyFont="1" applyBorder="1" applyAlignment="1">
      <alignment vertical="top"/>
    </xf>
    <xf numFmtId="187" fontId="6" fillId="0" borderId="4" xfId="1" quotePrefix="1" applyNumberFormat="1" applyFont="1" applyFill="1" applyBorder="1" applyAlignment="1">
      <alignment vertical="top"/>
    </xf>
    <xf numFmtId="187" fontId="4" fillId="0" borderId="2" xfId="1" quotePrefix="1" applyNumberFormat="1" applyFont="1" applyBorder="1" applyAlignment="1">
      <alignment vertical="top"/>
    </xf>
    <xf numFmtId="187" fontId="4" fillId="0" borderId="2" xfId="1" applyNumberFormat="1" applyFont="1" applyFill="1" applyBorder="1" applyAlignment="1">
      <alignment vertical="center"/>
    </xf>
    <xf numFmtId="187" fontId="4" fillId="0" borderId="3" xfId="1" applyNumberFormat="1" applyFont="1" applyFill="1" applyBorder="1" applyAlignment="1">
      <alignment vertical="center"/>
    </xf>
    <xf numFmtId="43" fontId="6" fillId="0" borderId="4" xfId="1" applyFont="1" applyFill="1" applyBorder="1" applyAlignment="1">
      <alignment vertical="top"/>
    </xf>
    <xf numFmtId="187" fontId="4" fillId="0" borderId="3" xfId="1" quotePrefix="1" applyNumberFormat="1" applyFont="1" applyFill="1" applyBorder="1" applyAlignment="1">
      <alignment vertical="center"/>
    </xf>
    <xf numFmtId="187" fontId="4" fillId="0" borderId="4" xfId="1" quotePrefix="1" applyNumberFormat="1" applyFont="1" applyFill="1" applyBorder="1" applyAlignment="1">
      <alignment vertical="center"/>
    </xf>
    <xf numFmtId="187" fontId="4" fillId="0" borderId="3" xfId="1" quotePrefix="1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43" fontId="4" fillId="4" borderId="0" xfId="0" applyNumberFormat="1" applyFont="1" applyFill="1"/>
    <xf numFmtId="9" fontId="3" fillId="4" borderId="2" xfId="2" quotePrefix="1" applyFont="1" applyFill="1" applyBorder="1" applyAlignment="1">
      <alignment vertical="center"/>
    </xf>
    <xf numFmtId="187" fontId="4" fillId="0" borderId="6" xfId="1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top"/>
    </xf>
    <xf numFmtId="187" fontId="3" fillId="3" borderId="3" xfId="1" applyNumberFormat="1" applyFont="1" applyFill="1" applyBorder="1" applyAlignment="1">
      <alignment vertical="center"/>
    </xf>
    <xf numFmtId="187" fontId="6" fillId="0" borderId="4" xfId="1" applyNumberFormat="1" applyFont="1" applyBorder="1" applyAlignment="1">
      <alignment vertical="top"/>
    </xf>
    <xf numFmtId="187" fontId="3" fillId="0" borderId="3" xfId="2" applyNumberFormat="1" applyFont="1" applyBorder="1" applyAlignment="1">
      <alignment vertical="center"/>
    </xf>
    <xf numFmtId="187" fontId="3" fillId="0" borderId="3" xfId="0" applyNumberFormat="1" applyFont="1" applyFill="1" applyBorder="1" applyAlignment="1">
      <alignment vertical="center"/>
    </xf>
    <xf numFmtId="9" fontId="4" fillId="0" borderId="3" xfId="2" applyFont="1" applyBorder="1" applyAlignment="1">
      <alignment vertical="center"/>
    </xf>
    <xf numFmtId="187" fontId="4" fillId="0" borderId="3" xfId="1" applyNumberFormat="1" applyFont="1" applyBorder="1" applyAlignment="1">
      <alignment vertical="center"/>
    </xf>
    <xf numFmtId="9" fontId="3" fillId="3" borderId="4" xfId="2" applyFont="1" applyFill="1" applyBorder="1" applyAlignment="1">
      <alignment vertical="center"/>
    </xf>
    <xf numFmtId="9" fontId="4" fillId="3" borderId="4" xfId="2" quotePrefix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9" fontId="4" fillId="3" borderId="4" xfId="2" applyFont="1" applyFill="1" applyBorder="1" applyAlignment="1">
      <alignment vertical="center"/>
    </xf>
    <xf numFmtId="187" fontId="4" fillId="3" borderId="4" xfId="2" quotePrefix="1" applyNumberFormat="1" applyFont="1" applyFill="1" applyBorder="1" applyAlignment="1">
      <alignment vertical="center"/>
    </xf>
    <xf numFmtId="187" fontId="3" fillId="0" borderId="3" xfId="1" applyNumberFormat="1" applyFont="1" applyBorder="1" applyAlignment="1">
      <alignment vertical="center"/>
    </xf>
    <xf numFmtId="187" fontId="4" fillId="0" borderId="4" xfId="1" quotePrefix="1" applyNumberFormat="1" applyFont="1" applyBorder="1" applyAlignment="1">
      <alignment vertical="center"/>
    </xf>
    <xf numFmtId="187" fontId="4" fillId="0" borderId="4" xfId="1" quotePrefix="1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187" fontId="4" fillId="4" borderId="2" xfId="0" quotePrefix="1" applyNumberFormat="1" applyFont="1" applyFill="1" applyBorder="1" applyAlignment="1">
      <alignment vertical="center" wrapText="1"/>
    </xf>
    <xf numFmtId="187" fontId="3" fillId="4" borderId="3" xfId="0" applyNumberFormat="1" applyFont="1" applyFill="1" applyBorder="1" applyAlignment="1">
      <alignment vertical="center" wrapText="1"/>
    </xf>
    <xf numFmtId="43" fontId="3" fillId="4" borderId="1" xfId="1" applyFont="1" applyFill="1" applyBorder="1" applyAlignment="1">
      <alignment horizontal="right" vertical="center"/>
    </xf>
    <xf numFmtId="43" fontId="3" fillId="0" borderId="1" xfId="1" applyFont="1" applyBorder="1" applyAlignment="1">
      <alignment horizontal="center" vertical="top"/>
    </xf>
    <xf numFmtId="0" fontId="4" fillId="0" borderId="4" xfId="0" applyFont="1" applyBorder="1" applyAlignment="1">
      <alignment vertical="center"/>
    </xf>
    <xf numFmtId="9" fontId="4" fillId="0" borderId="10" xfId="2" quotePrefix="1" applyFont="1" applyBorder="1" applyAlignment="1">
      <alignment vertical="top" wrapText="1"/>
    </xf>
    <xf numFmtId="0" fontId="13" fillId="0" borderId="2" xfId="3" applyFont="1" applyBorder="1" applyAlignment="1">
      <alignment vertical="top" wrapText="1"/>
    </xf>
    <xf numFmtId="9" fontId="4" fillId="0" borderId="2" xfId="2" applyFont="1" applyBorder="1" applyAlignment="1">
      <alignment vertical="top"/>
    </xf>
    <xf numFmtId="187" fontId="4" fillId="4" borderId="2" xfId="0" applyNumberFormat="1" applyFont="1" applyFill="1" applyBorder="1" applyAlignment="1">
      <alignment vertical="center" wrapText="1"/>
    </xf>
    <xf numFmtId="0" fontId="11" fillId="0" borderId="4" xfId="0" quotePrefix="1" applyFont="1" applyFill="1" applyBorder="1" applyAlignment="1">
      <alignment horizontal="left" vertical="top" wrapText="1"/>
    </xf>
    <xf numFmtId="9" fontId="4" fillId="0" borderId="1" xfId="2" quotePrefix="1" applyFont="1" applyBorder="1" applyAlignment="1">
      <alignment vertical="center"/>
    </xf>
    <xf numFmtId="43" fontId="4" fillId="4" borderId="1" xfId="1" applyFont="1" applyFill="1" applyBorder="1" applyAlignment="1">
      <alignment horizontal="right" vertical="center"/>
    </xf>
    <xf numFmtId="0" fontId="4" fillId="0" borderId="2" xfId="0" quotePrefix="1" applyFont="1" applyBorder="1" applyAlignment="1">
      <alignment vertical="center"/>
    </xf>
    <xf numFmtId="9" fontId="3" fillId="3" borderId="1" xfId="2" applyFont="1" applyFill="1" applyBorder="1" applyAlignment="1">
      <alignment vertical="center"/>
    </xf>
    <xf numFmtId="187" fontId="4" fillId="4" borderId="2" xfId="0" quotePrefix="1" applyNumberFormat="1" applyFont="1" applyFill="1" applyBorder="1" applyAlignment="1">
      <alignment horizontal="left" vertical="center"/>
    </xf>
    <xf numFmtId="43" fontId="4" fillId="0" borderId="4" xfId="1" applyFont="1" applyBorder="1" applyAlignment="1">
      <alignment horizontal="center" vertical="top"/>
    </xf>
    <xf numFmtId="0" fontId="4" fillId="0" borderId="2" xfId="0" quotePrefix="1" applyFont="1" applyFill="1" applyBorder="1" applyAlignment="1">
      <alignment vertical="center"/>
    </xf>
    <xf numFmtId="0" fontId="4" fillId="0" borderId="2" xfId="0" quotePrefix="1" applyFont="1" applyBorder="1" applyAlignment="1">
      <alignment vertical="top" wrapText="1"/>
    </xf>
    <xf numFmtId="187" fontId="4" fillId="0" borderId="10" xfId="0" quotePrefix="1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top"/>
    </xf>
    <xf numFmtId="9" fontId="4" fillId="0" borderId="10" xfId="2" applyFont="1" applyBorder="1" applyAlignment="1">
      <alignment vertical="top"/>
    </xf>
    <xf numFmtId="4" fontId="4" fillId="0" borderId="4" xfId="0" quotePrefix="1" applyNumberFormat="1" applyFont="1" applyFill="1" applyBorder="1" applyAlignment="1">
      <alignment vertical="top" wrapText="1"/>
    </xf>
    <xf numFmtId="9" fontId="3" fillId="0" borderId="4" xfId="2" applyFont="1" applyFill="1" applyBorder="1" applyAlignment="1">
      <alignment vertical="center"/>
    </xf>
    <xf numFmtId="9" fontId="4" fillId="0" borderId="1" xfId="2" quotePrefix="1" applyFont="1" applyBorder="1" applyAlignment="1">
      <alignment vertical="top"/>
    </xf>
    <xf numFmtId="187" fontId="4" fillId="4" borderId="2" xfId="0" quotePrefix="1" applyNumberFormat="1" applyFont="1" applyFill="1" applyBorder="1" applyAlignment="1">
      <alignment vertical="center"/>
    </xf>
    <xf numFmtId="187" fontId="4" fillId="4" borderId="2" xfId="0" quotePrefix="1" applyNumberFormat="1" applyFont="1" applyFill="1" applyBorder="1" applyAlignment="1">
      <alignment vertical="top" wrapText="1"/>
    </xf>
    <xf numFmtId="9" fontId="4" fillId="0" borderId="2" xfId="2" quotePrefix="1" applyFont="1" applyBorder="1" applyAlignment="1">
      <alignment vertical="center"/>
    </xf>
    <xf numFmtId="9" fontId="4" fillId="0" borderId="2" xfId="2" quotePrefix="1" applyFont="1" applyBorder="1" applyAlignment="1">
      <alignment vertical="top" wrapText="1"/>
    </xf>
    <xf numFmtId="4" fontId="4" fillId="4" borderId="2" xfId="0" applyNumberFormat="1" applyFont="1" applyFill="1" applyBorder="1" applyAlignment="1">
      <alignment vertical="center"/>
    </xf>
    <xf numFmtId="49" fontId="4" fillId="4" borderId="2" xfId="0" quotePrefix="1" applyNumberFormat="1" applyFont="1" applyFill="1" applyBorder="1" applyAlignment="1">
      <alignment vertical="center"/>
    </xf>
    <xf numFmtId="9" fontId="4" fillId="0" borderId="1" xfId="2" quotePrefix="1" applyFont="1" applyFill="1" applyBorder="1" applyAlignment="1">
      <alignment vertical="center" wrapText="1"/>
    </xf>
    <xf numFmtId="49" fontId="4" fillId="4" borderId="3" xfId="0" quotePrefix="1" applyNumberFormat="1" applyFont="1" applyFill="1" applyBorder="1" applyAlignment="1">
      <alignment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top" wrapText="1"/>
    </xf>
    <xf numFmtId="0" fontId="13" fillId="0" borderId="1" xfId="3" quotePrefix="1" applyFont="1" applyBorder="1" applyAlignment="1">
      <alignment vertical="top"/>
    </xf>
    <xf numFmtId="0" fontId="16" fillId="0" borderId="2" xfId="0" quotePrefix="1" applyFont="1" applyBorder="1" applyAlignment="1">
      <alignment horizontal="left" vertical="center"/>
    </xf>
    <xf numFmtId="187" fontId="4" fillId="0" borderId="1" xfId="1" applyNumberFormat="1" applyFont="1" applyBorder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3" xfId="3" quotePrefix="1" applyFont="1" applyBorder="1" applyAlignment="1">
      <alignment horizontal="left" vertical="top" wrapText="1"/>
    </xf>
    <xf numFmtId="0" fontId="13" fillId="0" borderId="2" xfId="3" quotePrefix="1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3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">
    <cellStyle name="เครื่องหมายจุลภาค" xfId="1" builtinId="3"/>
    <cellStyle name="ปกติ" xfId="0" builtinId="0"/>
    <cellStyle name="ปกติ 6" xfId="3"/>
    <cellStyle name="เปอร์เซ็นต์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1914525</xdr:colOff>
      <xdr:row>0</xdr:row>
      <xdr:rowOff>0</xdr:rowOff>
    </xdr:from>
    <xdr:to>
      <xdr:col>4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0420350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3</xdr:col>
      <xdr:colOff>1524000</xdr:colOff>
      <xdr:row>0</xdr:row>
      <xdr:rowOff>0</xdr:rowOff>
    </xdr:from>
    <xdr:to>
      <xdr:col>3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0</xdr:rowOff>
    </xdr:from>
    <xdr:to>
      <xdr:col>4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0048875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5</xdr:col>
      <xdr:colOff>1543050</xdr:colOff>
      <xdr:row>0</xdr:row>
      <xdr:rowOff>19050</xdr:rowOff>
    </xdr:from>
    <xdr:to>
      <xdr:col>5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291590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1914525</xdr:colOff>
      <xdr:row>0</xdr:row>
      <xdr:rowOff>0</xdr:rowOff>
    </xdr:from>
    <xdr:to>
      <xdr:col>4</xdr:col>
      <xdr:colOff>2838449</xdr:colOff>
      <xdr:row>1</xdr:row>
      <xdr:rowOff>11906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3</xdr:col>
      <xdr:colOff>1524000</xdr:colOff>
      <xdr:row>0</xdr:row>
      <xdr:rowOff>0</xdr:rowOff>
    </xdr:from>
    <xdr:to>
      <xdr:col>3</xdr:col>
      <xdr:colOff>2838449</xdr:colOff>
      <xdr:row>2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0</xdr:rowOff>
    </xdr:from>
    <xdr:to>
      <xdr:col>4</xdr:col>
      <xdr:colOff>2857499</xdr:colOff>
      <xdr:row>2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5</xdr:col>
      <xdr:colOff>1543050</xdr:colOff>
      <xdr:row>0</xdr:row>
      <xdr:rowOff>19050</xdr:rowOff>
    </xdr:from>
    <xdr:to>
      <xdr:col>5</xdr:col>
      <xdr:colOff>2857499</xdr:colOff>
      <xdr:row>2</xdr:row>
      <xdr:rowOff>38100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92"/>
  <sheetViews>
    <sheetView view="pageBreakPreview" topLeftCell="A58" zoomScale="80" zoomScaleSheetLayoutView="80" workbookViewId="0">
      <selection activeCell="E85" sqref="E85"/>
    </sheetView>
  </sheetViews>
  <sheetFormatPr defaultRowHeight="24"/>
  <cols>
    <col min="1" max="1" width="64.625" customWidth="1"/>
    <col min="2" max="2" width="17" hidden="1" customWidth="1"/>
    <col min="3" max="3" width="9.375" customWidth="1"/>
    <col min="4" max="6" width="37.625" customWidth="1"/>
    <col min="7" max="7" width="17.375" style="20" customWidth="1"/>
    <col min="8" max="8" width="14.125" style="18" customWidth="1"/>
  </cols>
  <sheetData>
    <row r="1" spans="1:8">
      <c r="A1" s="247" t="s">
        <v>217</v>
      </c>
      <c r="B1" s="247"/>
      <c r="C1" s="247"/>
      <c r="D1" s="247"/>
      <c r="E1" s="13"/>
      <c r="F1" s="13"/>
    </row>
    <row r="2" spans="1:8">
      <c r="A2" s="130" t="s">
        <v>206</v>
      </c>
      <c r="B2" s="130"/>
      <c r="C2" s="13"/>
    </row>
    <row r="3" spans="1:8">
      <c r="A3" s="134" t="s">
        <v>128</v>
      </c>
      <c r="B3" s="134"/>
      <c r="C3" s="12"/>
      <c r="E3" t="s">
        <v>58</v>
      </c>
    </row>
    <row r="4" spans="1:8">
      <c r="A4" s="12" t="s">
        <v>2</v>
      </c>
      <c r="B4" s="12"/>
      <c r="C4" s="12"/>
      <c r="D4" s="11" t="s">
        <v>24</v>
      </c>
      <c r="E4" s="11" t="s">
        <v>24</v>
      </c>
      <c r="F4" s="11" t="s">
        <v>24</v>
      </c>
    </row>
    <row r="5" spans="1:8">
      <c r="A5" s="250" t="s">
        <v>126</v>
      </c>
      <c r="B5" s="10" t="s">
        <v>218</v>
      </c>
      <c r="C5" s="10" t="s">
        <v>22</v>
      </c>
      <c r="D5" s="248" t="s">
        <v>255</v>
      </c>
      <c r="E5" s="248" t="s">
        <v>256</v>
      </c>
      <c r="F5" s="248" t="s">
        <v>257</v>
      </c>
    </row>
    <row r="6" spans="1:8">
      <c r="A6" s="251"/>
      <c r="B6" s="9" t="s">
        <v>219</v>
      </c>
      <c r="C6" s="9" t="s">
        <v>0</v>
      </c>
      <c r="D6" s="249"/>
      <c r="E6" s="249"/>
      <c r="F6" s="249"/>
      <c r="G6" s="26" t="s">
        <v>25</v>
      </c>
      <c r="H6" s="23" t="s">
        <v>26</v>
      </c>
    </row>
    <row r="7" spans="1:8">
      <c r="A7" s="137" t="s">
        <v>140</v>
      </c>
      <c r="B7" s="174"/>
      <c r="C7" s="138"/>
      <c r="D7" s="129"/>
      <c r="E7" s="129"/>
      <c r="F7" s="129"/>
      <c r="G7" s="26"/>
      <c r="H7" s="23"/>
    </row>
    <row r="8" spans="1:8">
      <c r="A8" s="27" t="s">
        <v>141</v>
      </c>
      <c r="B8" s="191">
        <f>SUM(B10+B15+B53)</f>
        <v>5194350</v>
      </c>
      <c r="C8" s="8" t="s">
        <v>1</v>
      </c>
      <c r="D8" s="57">
        <f t="shared" ref="D8:F9" si="0">SUM(D10+D15+D53)</f>
        <v>5348970</v>
      </c>
      <c r="E8" s="57">
        <f t="shared" si="0"/>
        <v>650050</v>
      </c>
      <c r="F8" s="57">
        <f t="shared" si="0"/>
        <v>222700</v>
      </c>
      <c r="G8" s="57">
        <f>SUM(D8:F8)</f>
        <v>6221720</v>
      </c>
    </row>
    <row r="9" spans="1:8">
      <c r="A9" s="28"/>
      <c r="B9" s="28"/>
      <c r="C9" s="8" t="s">
        <v>0</v>
      </c>
      <c r="D9" s="57">
        <f t="shared" si="0"/>
        <v>1030730</v>
      </c>
      <c r="E9" s="57">
        <f t="shared" si="0"/>
        <v>0</v>
      </c>
      <c r="F9" s="57">
        <f t="shared" si="0"/>
        <v>0</v>
      </c>
    </row>
    <row r="10" spans="1:8" s="4" customFormat="1">
      <c r="A10" s="29" t="s">
        <v>129</v>
      </c>
      <c r="B10" s="193">
        <f>SUM(B13)</f>
        <v>50400</v>
      </c>
      <c r="C10" s="7" t="s">
        <v>1</v>
      </c>
      <c r="D10" s="14">
        <f>SUM(D13)</f>
        <v>50400</v>
      </c>
      <c r="E10" s="14">
        <f>SUM(E13:E13)</f>
        <v>0</v>
      </c>
      <c r="F10" s="14">
        <f>SUM(F13:F13)</f>
        <v>0</v>
      </c>
      <c r="G10" s="14">
        <f>SUM(D10:F10)</f>
        <v>50400</v>
      </c>
      <c r="H10" s="24">
        <f>G10-D10-E10-F10</f>
        <v>0</v>
      </c>
    </row>
    <row r="11" spans="1:8" s="4" customFormat="1">
      <c r="A11" s="30" t="s">
        <v>58</v>
      </c>
      <c r="B11" s="30"/>
      <c r="C11" s="7" t="s">
        <v>0</v>
      </c>
      <c r="D11" s="14">
        <f>SUM(D14)</f>
        <v>3360</v>
      </c>
      <c r="E11" s="14"/>
      <c r="F11" s="14"/>
      <c r="G11" s="21"/>
      <c r="H11" s="18"/>
    </row>
    <row r="12" spans="1:8" s="5" customFormat="1">
      <c r="A12" s="48" t="s">
        <v>130</v>
      </c>
      <c r="B12" s="48"/>
      <c r="C12" s="6"/>
      <c r="D12" s="15"/>
      <c r="E12" s="15" t="s">
        <v>58</v>
      </c>
      <c r="F12" s="15"/>
      <c r="G12" s="22"/>
      <c r="H12" s="19"/>
    </row>
    <row r="13" spans="1:8" s="5" customFormat="1">
      <c r="A13" s="49" t="s">
        <v>16</v>
      </c>
      <c r="B13" s="176">
        <v>50400</v>
      </c>
      <c r="C13" s="6" t="s">
        <v>1</v>
      </c>
      <c r="D13" s="15">
        <v>50400</v>
      </c>
      <c r="E13" s="15">
        <v>0</v>
      </c>
      <c r="F13" s="15">
        <v>0</v>
      </c>
      <c r="G13" s="22">
        <f>SUM(D13:F13)</f>
        <v>50400</v>
      </c>
      <c r="H13" s="25">
        <f t="shared" ref="H13" si="1">G13-D13-E13-F13</f>
        <v>0</v>
      </c>
    </row>
    <row r="14" spans="1:8" s="5" customFormat="1">
      <c r="A14" s="49"/>
      <c r="B14" s="176"/>
      <c r="C14" s="6" t="s">
        <v>0</v>
      </c>
      <c r="D14" s="15">
        <v>3360</v>
      </c>
      <c r="E14" s="15">
        <v>0</v>
      </c>
      <c r="F14" s="15">
        <v>0</v>
      </c>
      <c r="G14" s="22"/>
      <c r="H14" s="25"/>
    </row>
    <row r="15" spans="1:8" s="4" customFormat="1">
      <c r="A15" s="29" t="s">
        <v>131</v>
      </c>
      <c r="B15" s="193">
        <f>SUM(B17:B51)</f>
        <v>4755650</v>
      </c>
      <c r="C15" s="7" t="s">
        <v>1</v>
      </c>
      <c r="D15" s="14">
        <f>SUM(D18:D51)</f>
        <v>4910270</v>
      </c>
      <c r="E15" s="14">
        <f>SUM(E18:E51)</f>
        <v>650050</v>
      </c>
      <c r="F15" s="14">
        <f>SUM(F16:F55)</f>
        <v>222700</v>
      </c>
      <c r="G15" s="14">
        <f>SUM(D15:F15)</f>
        <v>5783020</v>
      </c>
      <c r="H15" s="24">
        <f>G15-D15-E15-F15</f>
        <v>0</v>
      </c>
    </row>
    <row r="16" spans="1:8" s="4" customFormat="1">
      <c r="A16" s="30"/>
      <c r="B16" s="30"/>
      <c r="C16" s="7" t="s">
        <v>0</v>
      </c>
      <c r="D16" s="14">
        <f>SUM(D20+D23+D23+D25+D27+D29+D31+D33+D35+D37+D40+D42+D44+D46+D48+D50+D52)</f>
        <v>1027370</v>
      </c>
      <c r="E16" s="14">
        <f>SUM(E20+E23+E23+E25+E27+E29+E31+E33+E35+E37+E40+E42+E44+E46+E48+E50+E52)</f>
        <v>0</v>
      </c>
      <c r="F16" s="14">
        <f>SUM(F20+F23+F23+F25+F27+F29+F31+F33+F35+F37+F40+F42+F44+F46+F48+F50+F52)</f>
        <v>0</v>
      </c>
      <c r="G16" s="21"/>
      <c r="H16" s="18"/>
    </row>
    <row r="17" spans="1:11" s="4" customFormat="1">
      <c r="A17" s="48" t="s">
        <v>130</v>
      </c>
      <c r="B17" s="192"/>
      <c r="C17" s="128"/>
      <c r="D17" s="139"/>
      <c r="E17" s="139"/>
      <c r="F17" s="139"/>
      <c r="G17" s="21"/>
      <c r="H17" s="18"/>
    </row>
    <row r="18" spans="1:11" s="5" customFormat="1">
      <c r="A18" s="131" t="s">
        <v>27</v>
      </c>
      <c r="B18" s="131"/>
      <c r="C18" s="132"/>
      <c r="D18" s="133"/>
      <c r="E18" s="133"/>
      <c r="F18" s="133"/>
      <c r="G18" s="22" t="s">
        <v>58</v>
      </c>
      <c r="H18" s="19"/>
    </row>
    <row r="19" spans="1:11" s="5" customFormat="1">
      <c r="A19" s="49" t="s">
        <v>21</v>
      </c>
      <c r="B19" s="176">
        <v>387400</v>
      </c>
      <c r="C19" s="6" t="s">
        <v>1</v>
      </c>
      <c r="D19" s="15">
        <v>130000</v>
      </c>
      <c r="E19" s="15">
        <v>150000</v>
      </c>
      <c r="F19" s="15">
        <v>107400</v>
      </c>
      <c r="G19" s="22">
        <f>SUM(D19:F19)</f>
        <v>387400</v>
      </c>
      <c r="H19" s="25">
        <f t="shared" ref="H19:H49" si="2">G19-D19-E19-F19</f>
        <v>0</v>
      </c>
    </row>
    <row r="20" spans="1:11" s="5" customFormat="1">
      <c r="A20" s="166"/>
      <c r="B20" s="176"/>
      <c r="C20" s="6" t="s">
        <v>0</v>
      </c>
      <c r="D20" s="15">
        <v>88470</v>
      </c>
      <c r="E20" s="222"/>
      <c r="F20" s="15"/>
      <c r="G20" s="22"/>
      <c r="H20" s="25"/>
    </row>
    <row r="21" spans="1:11" s="5" customFormat="1">
      <c r="A21" s="50" t="s">
        <v>28</v>
      </c>
      <c r="B21" s="50"/>
      <c r="C21" s="6"/>
      <c r="D21" s="15"/>
      <c r="E21" s="244" t="s">
        <v>58</v>
      </c>
      <c r="F21" s="15"/>
      <c r="G21" s="22" t="s">
        <v>58</v>
      </c>
      <c r="H21" s="25"/>
    </row>
    <row r="22" spans="1:11" s="5" customFormat="1">
      <c r="A22" s="49" t="s">
        <v>19</v>
      </c>
      <c r="B22" s="176">
        <v>222900</v>
      </c>
      <c r="C22" s="6" t="s">
        <v>1</v>
      </c>
      <c r="D22" s="15">
        <v>66000</v>
      </c>
      <c r="E22" s="15">
        <v>150000</v>
      </c>
      <c r="F22" s="15">
        <v>6900</v>
      </c>
      <c r="G22" s="22">
        <f>SUM(D22:F22)</f>
        <v>222900</v>
      </c>
      <c r="H22" s="25">
        <f t="shared" si="2"/>
        <v>0</v>
      </c>
      <c r="J22" s="5" t="s">
        <v>58</v>
      </c>
    </row>
    <row r="23" spans="1:11" s="5" customFormat="1">
      <c r="A23" s="166"/>
      <c r="B23" s="176"/>
      <c r="C23" s="6" t="s">
        <v>0</v>
      </c>
      <c r="D23" s="15"/>
      <c r="E23" s="15"/>
      <c r="F23" s="15"/>
      <c r="G23" s="22"/>
      <c r="H23" s="25"/>
    </row>
    <row r="24" spans="1:11" s="5" customFormat="1">
      <c r="A24" s="49" t="s">
        <v>18</v>
      </c>
      <c r="B24" s="176">
        <v>10000</v>
      </c>
      <c r="C24" s="6" t="s">
        <v>1</v>
      </c>
      <c r="D24" s="15">
        <v>10000</v>
      </c>
      <c r="E24" s="15">
        <v>0</v>
      </c>
      <c r="F24" s="15">
        <v>0</v>
      </c>
      <c r="G24" s="22">
        <f>SUM(D24:F24)</f>
        <v>10000</v>
      </c>
      <c r="H24" s="25">
        <f t="shared" si="2"/>
        <v>0</v>
      </c>
    </row>
    <row r="25" spans="1:11" s="5" customFormat="1">
      <c r="A25" s="166"/>
      <c r="B25" s="176"/>
      <c r="C25" s="6" t="s">
        <v>0</v>
      </c>
      <c r="D25" s="15"/>
      <c r="E25" s="15"/>
      <c r="F25" s="15"/>
      <c r="G25" s="22"/>
      <c r="H25" s="25"/>
    </row>
    <row r="26" spans="1:11" s="5" customFormat="1">
      <c r="A26" s="49" t="s">
        <v>17</v>
      </c>
      <c r="B26" s="176">
        <v>125600</v>
      </c>
      <c r="C26" s="6" t="s">
        <v>1</v>
      </c>
      <c r="D26" s="15">
        <v>25600</v>
      </c>
      <c r="E26" s="15">
        <v>50000</v>
      </c>
      <c r="F26" s="15">
        <v>50000</v>
      </c>
      <c r="G26" s="22">
        <f>SUM(D26:F26)</f>
        <v>125600</v>
      </c>
      <c r="H26" s="25">
        <f t="shared" si="2"/>
        <v>0</v>
      </c>
    </row>
    <row r="27" spans="1:11" s="5" customFormat="1">
      <c r="A27" s="166"/>
      <c r="B27" s="176"/>
      <c r="C27" s="6" t="s">
        <v>0</v>
      </c>
      <c r="D27" s="15"/>
      <c r="E27" s="15"/>
      <c r="F27" s="15"/>
      <c r="G27" s="22"/>
      <c r="H27" s="25"/>
    </row>
    <row r="28" spans="1:11" s="5" customFormat="1">
      <c r="A28" s="49" t="s">
        <v>15</v>
      </c>
      <c r="B28" s="176">
        <v>4800</v>
      </c>
      <c r="C28" s="6" t="s">
        <v>1</v>
      </c>
      <c r="D28" s="15">
        <v>1600</v>
      </c>
      <c r="E28" s="15">
        <v>1600</v>
      </c>
      <c r="F28" s="15">
        <v>1600</v>
      </c>
      <c r="G28" s="22">
        <v>4800</v>
      </c>
      <c r="H28" s="25">
        <f t="shared" si="2"/>
        <v>0</v>
      </c>
    </row>
    <row r="29" spans="1:11" s="5" customFormat="1">
      <c r="A29" s="166"/>
      <c r="B29" s="176"/>
      <c r="C29" s="6" t="s">
        <v>0</v>
      </c>
      <c r="D29" s="15"/>
      <c r="E29" s="15"/>
      <c r="F29" s="15"/>
      <c r="G29" s="22"/>
      <c r="H29" s="25"/>
    </row>
    <row r="30" spans="1:11" s="5" customFormat="1">
      <c r="A30" s="49" t="s">
        <v>14</v>
      </c>
      <c r="B30" s="176">
        <v>54000</v>
      </c>
      <c r="C30" s="6" t="s">
        <v>1</v>
      </c>
      <c r="D30" s="15">
        <v>14000</v>
      </c>
      <c r="E30" s="15">
        <v>20000</v>
      </c>
      <c r="F30" s="15">
        <v>20000</v>
      </c>
      <c r="G30" s="22">
        <f>SUM(D30:F30)</f>
        <v>54000</v>
      </c>
      <c r="H30" s="25">
        <f t="shared" si="2"/>
        <v>0</v>
      </c>
      <c r="K30" s="5" t="s">
        <v>58</v>
      </c>
    </row>
    <row r="31" spans="1:11" s="5" customFormat="1">
      <c r="A31" s="166"/>
      <c r="B31" s="176"/>
      <c r="C31" s="6" t="s">
        <v>0</v>
      </c>
      <c r="D31" s="15">
        <v>21540</v>
      </c>
      <c r="E31" s="15"/>
      <c r="F31" s="15"/>
      <c r="G31" s="22"/>
      <c r="H31" s="25"/>
    </row>
    <row r="32" spans="1:11" s="5" customFormat="1">
      <c r="A32" s="231" t="s">
        <v>198</v>
      </c>
      <c r="B32" s="176">
        <v>1440000</v>
      </c>
      <c r="C32" s="6" t="s">
        <v>1</v>
      </c>
      <c r="D32" s="15">
        <v>1440000</v>
      </c>
      <c r="E32" s="15">
        <v>0</v>
      </c>
      <c r="F32" s="15">
        <v>0</v>
      </c>
      <c r="G32" s="22">
        <f>SUM(D32:F32)</f>
        <v>1440000</v>
      </c>
      <c r="H32" s="25">
        <f t="shared" si="2"/>
        <v>0</v>
      </c>
    </row>
    <row r="33" spans="1:8" s="5" customFormat="1">
      <c r="A33" s="166"/>
      <c r="B33" s="176"/>
      <c r="C33" s="6" t="s">
        <v>0</v>
      </c>
      <c r="D33" s="15">
        <v>351600</v>
      </c>
      <c r="E33" s="15"/>
      <c r="F33" s="15"/>
      <c r="G33" s="22"/>
      <c r="H33" s="25"/>
    </row>
    <row r="34" spans="1:8" s="5" customFormat="1">
      <c r="A34" s="49" t="s">
        <v>12</v>
      </c>
      <c r="B34" s="176">
        <v>1810100</v>
      </c>
      <c r="C34" s="6" t="s">
        <v>1</v>
      </c>
      <c r="D34" s="15">
        <v>1810100</v>
      </c>
      <c r="E34" s="15">
        <v>0</v>
      </c>
      <c r="F34" s="15">
        <v>0</v>
      </c>
      <c r="G34" s="22">
        <f>SUM(D34:F34)</f>
        <v>1810100</v>
      </c>
      <c r="H34" s="25">
        <f t="shared" si="2"/>
        <v>0</v>
      </c>
    </row>
    <row r="35" spans="1:8" s="5" customFormat="1">
      <c r="A35" s="166"/>
      <c r="B35" s="176"/>
      <c r="C35" s="6" t="s">
        <v>0</v>
      </c>
      <c r="D35" s="15">
        <v>444000</v>
      </c>
      <c r="E35" s="15"/>
      <c r="F35" s="15"/>
      <c r="G35" s="22"/>
      <c r="H35" s="25"/>
    </row>
    <row r="36" spans="1:8" s="5" customFormat="1">
      <c r="A36" s="49" t="s">
        <v>252</v>
      </c>
      <c r="B36" s="176">
        <v>216000</v>
      </c>
      <c r="C36" s="6" t="s">
        <v>1</v>
      </c>
      <c r="D36" s="15">
        <v>216000</v>
      </c>
      <c r="E36" s="15">
        <v>0</v>
      </c>
      <c r="F36" s="15">
        <v>0</v>
      </c>
      <c r="G36" s="22">
        <f>SUM(D36)</f>
        <v>216000</v>
      </c>
      <c r="H36" s="25" t="s">
        <v>58</v>
      </c>
    </row>
    <row r="37" spans="1:8" s="5" customFormat="1">
      <c r="A37" s="166"/>
      <c r="B37" s="176"/>
      <c r="C37" s="6" t="s">
        <v>0</v>
      </c>
      <c r="D37" s="15">
        <v>54000</v>
      </c>
      <c r="E37" s="15"/>
      <c r="F37" s="15"/>
      <c r="G37" s="22"/>
      <c r="H37" s="25"/>
    </row>
    <row r="38" spans="1:8" s="5" customFormat="1">
      <c r="A38" s="51" t="s">
        <v>132</v>
      </c>
      <c r="B38" s="177"/>
      <c r="C38" s="6"/>
      <c r="D38" s="15"/>
      <c r="E38" s="15"/>
      <c r="F38" s="15" t="s">
        <v>58</v>
      </c>
      <c r="G38" s="22" t="s">
        <v>58</v>
      </c>
      <c r="H38" s="25"/>
    </row>
    <row r="39" spans="1:8" s="5" customFormat="1">
      <c r="A39" s="49" t="s">
        <v>199</v>
      </c>
      <c r="B39" s="176">
        <v>115650</v>
      </c>
      <c r="C39" s="6" t="s">
        <v>1</v>
      </c>
      <c r="D39" s="15">
        <v>34000</v>
      </c>
      <c r="E39" s="15">
        <v>81650</v>
      </c>
      <c r="F39" s="15">
        <v>0</v>
      </c>
      <c r="G39" s="22">
        <f>SUM(D39:F39)</f>
        <v>115650</v>
      </c>
      <c r="H39" s="25">
        <f t="shared" si="2"/>
        <v>0</v>
      </c>
    </row>
    <row r="40" spans="1:8" s="5" customFormat="1">
      <c r="A40" s="166"/>
      <c r="B40" s="176"/>
      <c r="C40" s="6" t="s">
        <v>0</v>
      </c>
      <c r="D40" s="15"/>
      <c r="E40" s="15"/>
      <c r="F40" s="15"/>
      <c r="G40" s="22"/>
      <c r="H40" s="25"/>
    </row>
    <row r="41" spans="1:8" s="5" customFormat="1">
      <c r="A41" s="49" t="s">
        <v>9</v>
      </c>
      <c r="B41" s="176">
        <v>62000</v>
      </c>
      <c r="C41" s="6" t="s">
        <v>1</v>
      </c>
      <c r="D41" s="15">
        <v>18000</v>
      </c>
      <c r="E41" s="15">
        <v>44000</v>
      </c>
      <c r="F41" s="15">
        <v>0</v>
      </c>
      <c r="G41" s="22">
        <f>SUM(D41:F41)</f>
        <v>62000</v>
      </c>
      <c r="H41" s="25">
        <f t="shared" si="2"/>
        <v>0</v>
      </c>
    </row>
    <row r="42" spans="1:8" s="5" customFormat="1">
      <c r="A42" s="166"/>
      <c r="B42" s="176"/>
      <c r="C42" s="6" t="s">
        <v>0</v>
      </c>
      <c r="D42" s="15"/>
      <c r="E42" s="15"/>
      <c r="F42" s="15"/>
      <c r="G42" s="22"/>
      <c r="H42" s="25"/>
    </row>
    <row r="43" spans="1:8" s="5" customFormat="1">
      <c r="A43" s="49" t="s">
        <v>8</v>
      </c>
      <c r="B43" s="176">
        <v>83500</v>
      </c>
      <c r="C43" s="190" t="s">
        <v>1</v>
      </c>
      <c r="D43" s="15">
        <v>16700</v>
      </c>
      <c r="E43" s="15">
        <v>30000</v>
      </c>
      <c r="F43" s="15">
        <v>36800</v>
      </c>
      <c r="G43" s="22">
        <f>SUM(D43:F43)</f>
        <v>83500</v>
      </c>
      <c r="H43" s="25">
        <f t="shared" si="2"/>
        <v>0</v>
      </c>
    </row>
    <row r="44" spans="1:8" s="5" customFormat="1">
      <c r="A44" s="166"/>
      <c r="B44" s="176"/>
      <c r="C44" s="6" t="s">
        <v>0</v>
      </c>
      <c r="D44" s="15">
        <v>57360</v>
      </c>
      <c r="E44" s="15"/>
      <c r="F44" s="15"/>
      <c r="G44" s="22"/>
      <c r="H44" s="25"/>
    </row>
    <row r="45" spans="1:8" s="5" customFormat="1">
      <c r="A45" s="49" t="s">
        <v>7</v>
      </c>
      <c r="B45" s="176">
        <v>16900</v>
      </c>
      <c r="C45" s="6" t="s">
        <v>1</v>
      </c>
      <c r="D45" s="15">
        <v>16900</v>
      </c>
      <c r="E45" s="15">
        <v>0</v>
      </c>
      <c r="F45" s="15">
        <v>0</v>
      </c>
      <c r="G45" s="22">
        <f>SUM(D45)</f>
        <v>16900</v>
      </c>
      <c r="H45" s="25"/>
    </row>
    <row r="46" spans="1:8" s="5" customFormat="1">
      <c r="A46" s="166"/>
      <c r="B46" s="176"/>
      <c r="C46" s="6" t="s">
        <v>0</v>
      </c>
      <c r="D46" s="15">
        <v>10400</v>
      </c>
      <c r="E46" s="15"/>
      <c r="F46" s="15"/>
      <c r="G46" s="22"/>
      <c r="H46" s="25"/>
    </row>
    <row r="47" spans="1:8" s="5" customFormat="1">
      <c r="A47" s="49" t="s">
        <v>6</v>
      </c>
      <c r="B47" s="176">
        <v>172800</v>
      </c>
      <c r="C47" s="6" t="s">
        <v>1</v>
      </c>
      <c r="D47" s="15">
        <v>50000</v>
      </c>
      <c r="E47" s="15">
        <v>122800</v>
      </c>
      <c r="F47" s="15">
        <v>0</v>
      </c>
      <c r="G47" s="22">
        <f>SUM(D47:F47)</f>
        <v>172800</v>
      </c>
      <c r="H47" s="25">
        <f t="shared" si="2"/>
        <v>0</v>
      </c>
    </row>
    <row r="48" spans="1:8" s="5" customFormat="1">
      <c r="A48" s="166"/>
      <c r="B48" s="176"/>
      <c r="C48" s="6" t="s">
        <v>0</v>
      </c>
      <c r="D48" s="15"/>
      <c r="E48" s="15"/>
      <c r="F48" s="15"/>
      <c r="G48" s="22"/>
      <c r="H48" s="25"/>
    </row>
    <row r="49" spans="1:8" s="5" customFormat="1">
      <c r="A49" s="49" t="s">
        <v>5</v>
      </c>
      <c r="B49" s="176">
        <v>24000</v>
      </c>
      <c r="C49" s="6" t="s">
        <v>1</v>
      </c>
      <c r="D49" s="15">
        <v>24000</v>
      </c>
      <c r="E49" s="15">
        <v>0</v>
      </c>
      <c r="F49" s="15">
        <v>0</v>
      </c>
      <c r="G49" s="22">
        <v>24000</v>
      </c>
      <c r="H49" s="25">
        <f t="shared" si="2"/>
        <v>0</v>
      </c>
    </row>
    <row r="50" spans="1:8" s="5" customFormat="1">
      <c r="A50" s="166"/>
      <c r="B50" s="176"/>
      <c r="C50" s="6" t="s">
        <v>0</v>
      </c>
      <c r="D50" s="15"/>
      <c r="E50" s="15"/>
      <c r="F50" s="15"/>
      <c r="G50" s="22"/>
      <c r="H50" s="25"/>
    </row>
    <row r="51" spans="1:8" s="5" customFormat="1">
      <c r="A51" s="49" t="s">
        <v>4</v>
      </c>
      <c r="B51" s="178">
        <v>10000</v>
      </c>
      <c r="C51" s="6" t="s">
        <v>1</v>
      </c>
      <c r="D51" s="15">
        <v>10000</v>
      </c>
      <c r="E51" s="15">
        <v>0</v>
      </c>
      <c r="F51" s="15">
        <v>0</v>
      </c>
      <c r="G51" s="22">
        <v>10000</v>
      </c>
      <c r="H51" s="25">
        <f t="shared" ref="H51" si="3">G51-D51-E51-F51</f>
        <v>0</v>
      </c>
    </row>
    <row r="52" spans="1:8" s="5" customFormat="1">
      <c r="A52" s="166"/>
      <c r="B52" s="176"/>
      <c r="C52" s="6" t="s">
        <v>0</v>
      </c>
      <c r="D52" s="15"/>
      <c r="E52" s="15"/>
      <c r="F52" s="15"/>
      <c r="G52" s="22"/>
      <c r="H52" s="25"/>
    </row>
    <row r="53" spans="1:8" s="4" customFormat="1">
      <c r="A53" s="31" t="s">
        <v>133</v>
      </c>
      <c r="B53" s="180">
        <f>SUM(B55)</f>
        <v>388300</v>
      </c>
      <c r="C53" s="32" t="s">
        <v>1</v>
      </c>
      <c r="D53" s="16">
        <f>SUM(D55)</f>
        <v>388300</v>
      </c>
      <c r="E53" s="16">
        <f>SUM(E55)</f>
        <v>0</v>
      </c>
      <c r="F53" s="16">
        <f>SUM(F55)</f>
        <v>0</v>
      </c>
      <c r="G53" s="16">
        <f>SUM(D53:F53)</f>
        <v>388300</v>
      </c>
      <c r="H53" s="24">
        <f>G53-D53-E53-F53</f>
        <v>0</v>
      </c>
    </row>
    <row r="54" spans="1:8" s="4" customFormat="1">
      <c r="A54" s="33"/>
      <c r="B54" s="179"/>
      <c r="C54" s="32" t="s">
        <v>0</v>
      </c>
      <c r="D54" s="16"/>
      <c r="E54" s="16"/>
      <c r="F54" s="16"/>
      <c r="G54" s="168"/>
      <c r="H54" s="24"/>
    </row>
    <row r="55" spans="1:8" s="4" customFormat="1">
      <c r="A55" s="34" t="s">
        <v>221</v>
      </c>
      <c r="B55" s="189">
        <v>388300</v>
      </c>
      <c r="C55" s="7" t="s">
        <v>1</v>
      </c>
      <c r="D55" s="111">
        <v>388300</v>
      </c>
      <c r="E55" s="16">
        <v>0</v>
      </c>
      <c r="F55" s="16">
        <v>0</v>
      </c>
      <c r="G55" s="21">
        <f>SUM(D55:F55)</f>
        <v>388300</v>
      </c>
      <c r="H55" s="18"/>
    </row>
    <row r="56" spans="1:8" s="4" customFormat="1">
      <c r="A56" s="169"/>
      <c r="B56" s="189"/>
      <c r="C56" s="226" t="s">
        <v>0</v>
      </c>
      <c r="D56" s="111">
        <v>2000</v>
      </c>
      <c r="E56" s="16"/>
      <c r="F56" s="16"/>
      <c r="G56" s="21"/>
      <c r="H56" s="18"/>
    </row>
    <row r="57" spans="1:8">
      <c r="A57" s="107" t="s">
        <v>140</v>
      </c>
      <c r="B57" s="175"/>
      <c r="C57" s="141"/>
      <c r="D57" s="3"/>
      <c r="E57" s="3"/>
      <c r="F57" s="3"/>
      <c r="G57" s="26"/>
      <c r="H57" s="23"/>
    </row>
    <row r="58" spans="1:8">
      <c r="A58" s="27" t="s">
        <v>142</v>
      </c>
      <c r="B58" s="191" t="e">
        <f>SUM(B60+B62+B67)</f>
        <v>#REF!</v>
      </c>
      <c r="C58" s="8" t="s">
        <v>1</v>
      </c>
      <c r="D58" s="57">
        <f>SUM(D60+D62+D67)</f>
        <v>1885700</v>
      </c>
      <c r="E58" s="57">
        <f>SUM(E60+E62+E67)</f>
        <v>117000</v>
      </c>
      <c r="F58" s="57">
        <f>SUM(F60+F62+F67)</f>
        <v>118000</v>
      </c>
      <c r="G58" s="57">
        <f>SUM(D58:F58)</f>
        <v>2120700</v>
      </c>
    </row>
    <row r="59" spans="1:8">
      <c r="A59" s="28"/>
      <c r="B59" s="28"/>
      <c r="C59" s="8" t="s">
        <v>0</v>
      </c>
      <c r="D59" s="57">
        <f>SUM(D63+D68+D76)</f>
        <v>208800</v>
      </c>
      <c r="E59" s="57">
        <f>SUM(E63+E68+E76)</f>
        <v>0</v>
      </c>
      <c r="F59" s="57">
        <f>SUM(F63+F68+F76)</f>
        <v>0</v>
      </c>
    </row>
    <row r="60" spans="1:8" s="4" customFormat="1">
      <c r="A60" s="29" t="s">
        <v>129</v>
      </c>
      <c r="B60" s="203" t="e">
        <f>SUM(#REF!)</f>
        <v>#REF!</v>
      </c>
      <c r="C60" s="7" t="s">
        <v>1</v>
      </c>
      <c r="D60" s="14">
        <v>0</v>
      </c>
      <c r="E60" s="14">
        <v>0</v>
      </c>
      <c r="F60" s="14">
        <v>0</v>
      </c>
      <c r="G60" s="14" t="e">
        <f>SUM(#REF!)</f>
        <v>#REF!</v>
      </c>
      <c r="H60" s="24" t="e">
        <f>G60-D60-E60-F60</f>
        <v>#REF!</v>
      </c>
    </row>
    <row r="61" spans="1:8" s="4" customFormat="1">
      <c r="A61" s="30" t="s">
        <v>253</v>
      </c>
      <c r="B61" s="30"/>
      <c r="C61" s="7" t="s">
        <v>0</v>
      </c>
      <c r="D61" s="14"/>
      <c r="E61" s="14"/>
      <c r="F61" s="14"/>
      <c r="G61" s="21"/>
      <c r="H61" s="18"/>
    </row>
    <row r="62" spans="1:8" s="4" customFormat="1">
      <c r="A62" s="29" t="s">
        <v>131</v>
      </c>
      <c r="B62" s="193">
        <f>SUM(B65)</f>
        <v>691200</v>
      </c>
      <c r="C62" s="7" t="s">
        <v>1</v>
      </c>
      <c r="D62" s="14">
        <f>SUM(D64:D65)</f>
        <v>691200</v>
      </c>
      <c r="E62" s="14">
        <f>SUM(E64:E65)</f>
        <v>0</v>
      </c>
      <c r="F62" s="14">
        <f>SUM(F64:F65)</f>
        <v>0</v>
      </c>
      <c r="G62" s="14">
        <f>SUM(D62:F62)</f>
        <v>691200</v>
      </c>
      <c r="H62" s="24">
        <f>G62-D62-E62-F62</f>
        <v>0</v>
      </c>
    </row>
    <row r="63" spans="1:8" s="4" customFormat="1">
      <c r="A63" s="30"/>
      <c r="B63" s="30"/>
      <c r="C63" s="7" t="s">
        <v>0</v>
      </c>
      <c r="D63" s="14">
        <f>SUM(D66)</f>
        <v>172800</v>
      </c>
      <c r="E63" s="14"/>
      <c r="F63" s="14"/>
      <c r="G63" s="21"/>
      <c r="H63" s="18"/>
    </row>
    <row r="64" spans="1:8" s="5" customFormat="1">
      <c r="A64" s="50" t="s">
        <v>28</v>
      </c>
      <c r="B64" s="181"/>
      <c r="C64" s="6"/>
      <c r="D64" s="15"/>
      <c r="E64" s="15"/>
      <c r="F64" s="15"/>
      <c r="G64" s="22">
        <f>SUM(G65:G65)</f>
        <v>691200</v>
      </c>
      <c r="H64" s="25"/>
    </row>
    <row r="65" spans="1:9" s="5" customFormat="1">
      <c r="A65" s="49" t="s">
        <v>220</v>
      </c>
      <c r="B65" s="176">
        <v>691200</v>
      </c>
      <c r="C65" s="6" t="s">
        <v>1</v>
      </c>
      <c r="D65" s="15">
        <v>691200</v>
      </c>
      <c r="E65" s="15">
        <v>0</v>
      </c>
      <c r="F65" s="14">
        <v>0</v>
      </c>
      <c r="G65" s="22">
        <f>SUM(D65:F65)</f>
        <v>691200</v>
      </c>
      <c r="H65" s="25">
        <f>G65-D65-E65-F65</f>
        <v>0</v>
      </c>
      <c r="I65" s="5" t="s">
        <v>58</v>
      </c>
    </row>
    <row r="66" spans="1:9" s="5" customFormat="1">
      <c r="A66" s="49"/>
      <c r="B66" s="176"/>
      <c r="C66" s="6"/>
      <c r="D66" s="15">
        <v>172800</v>
      </c>
      <c r="E66" s="15"/>
      <c r="F66" s="14"/>
      <c r="G66" s="22"/>
      <c r="H66" s="25"/>
    </row>
    <row r="67" spans="1:9" s="4" customFormat="1">
      <c r="A67" s="31" t="s">
        <v>133</v>
      </c>
      <c r="B67" s="194">
        <f>SUM(B69:B73)</f>
        <v>1393500</v>
      </c>
      <c r="C67" s="32" t="s">
        <v>1</v>
      </c>
      <c r="D67" s="16">
        <f>SUM(D69:D73)</f>
        <v>1194500</v>
      </c>
      <c r="E67" s="16">
        <f>SUM(E69:E77)</f>
        <v>117000</v>
      </c>
      <c r="F67" s="16">
        <f>SUM(F69:F77)</f>
        <v>118000</v>
      </c>
      <c r="G67" s="16">
        <f>SUM(D67:E67)</f>
        <v>1311500</v>
      </c>
      <c r="H67" s="24">
        <f>G67-D67-E67-F67</f>
        <v>-118000</v>
      </c>
    </row>
    <row r="68" spans="1:9" s="4" customFormat="1">
      <c r="A68" s="33"/>
      <c r="B68" s="33"/>
      <c r="C68" s="7" t="s">
        <v>0</v>
      </c>
      <c r="D68" s="16">
        <f>SUM(D70+D72+D74)</f>
        <v>36000</v>
      </c>
      <c r="E68" s="16"/>
      <c r="F68" s="16"/>
      <c r="G68" s="21"/>
      <c r="H68" s="18"/>
    </row>
    <row r="69" spans="1:9">
      <c r="A69" s="34" t="s">
        <v>254</v>
      </c>
      <c r="B69" s="182">
        <v>41500</v>
      </c>
      <c r="C69" s="35" t="s">
        <v>1</v>
      </c>
      <c r="D69" s="17">
        <v>41500</v>
      </c>
      <c r="E69" s="17">
        <v>0</v>
      </c>
      <c r="F69" s="17">
        <v>0</v>
      </c>
      <c r="G69" s="20">
        <f>SUM(D69:F69)</f>
        <v>41500</v>
      </c>
      <c r="H69" s="25">
        <f>G69-D69-E69-F69</f>
        <v>0</v>
      </c>
    </row>
    <row r="70" spans="1:9">
      <c r="A70" s="169"/>
      <c r="B70" s="169"/>
      <c r="C70" s="35" t="s">
        <v>0</v>
      </c>
      <c r="D70" s="17">
        <v>0</v>
      </c>
      <c r="E70" s="17"/>
      <c r="F70" s="17"/>
      <c r="H70" s="25"/>
    </row>
    <row r="71" spans="1:9">
      <c r="A71" s="153" t="s">
        <v>3</v>
      </c>
      <c r="B71" s="184">
        <v>352000</v>
      </c>
      <c r="C71" s="35" t="s">
        <v>1</v>
      </c>
      <c r="D71" s="17">
        <v>117000</v>
      </c>
      <c r="E71" s="17">
        <v>117000</v>
      </c>
      <c r="F71" s="17">
        <v>118000</v>
      </c>
      <c r="G71" s="20">
        <f>SUM(D71:F71)</f>
        <v>352000</v>
      </c>
      <c r="H71" s="25"/>
    </row>
    <row r="72" spans="1:9">
      <c r="A72" s="60"/>
      <c r="B72" s="169"/>
      <c r="C72" s="35" t="s">
        <v>0</v>
      </c>
      <c r="D72" s="17">
        <v>36000</v>
      </c>
      <c r="E72" s="17"/>
      <c r="F72" s="17"/>
      <c r="H72" s="25"/>
    </row>
    <row r="73" spans="1:9">
      <c r="A73" s="34" t="s">
        <v>222</v>
      </c>
      <c r="B73" s="183">
        <v>1000000</v>
      </c>
      <c r="C73" s="35" t="s">
        <v>1</v>
      </c>
      <c r="D73" s="17">
        <v>1000000</v>
      </c>
      <c r="E73" s="17">
        <v>0</v>
      </c>
      <c r="F73" s="17">
        <v>0</v>
      </c>
      <c r="H73" s="25"/>
    </row>
    <row r="74" spans="1:9">
      <c r="A74" s="36" t="s">
        <v>223</v>
      </c>
      <c r="B74" s="60"/>
      <c r="C74" s="35" t="s">
        <v>0</v>
      </c>
      <c r="D74" s="17">
        <v>0</v>
      </c>
      <c r="E74" s="17"/>
      <c r="F74" s="17"/>
      <c r="H74" s="25"/>
    </row>
    <row r="75" spans="1:9">
      <c r="A75" s="197" t="s">
        <v>224</v>
      </c>
      <c r="B75" s="202">
        <f>SUM(B77)</f>
        <v>108500</v>
      </c>
      <c r="C75" s="199" t="s">
        <v>1</v>
      </c>
      <c r="D75" s="57">
        <f>SUM(D77)</f>
        <v>108500</v>
      </c>
      <c r="E75" s="200"/>
      <c r="F75" s="200"/>
      <c r="H75" s="25"/>
    </row>
    <row r="76" spans="1:9">
      <c r="A76" s="201"/>
      <c r="B76" s="198"/>
      <c r="C76" s="199" t="s">
        <v>0</v>
      </c>
      <c r="D76" s="200">
        <f>SUM(D78)</f>
        <v>0</v>
      </c>
      <c r="E76" s="200"/>
      <c r="F76" s="200"/>
      <c r="H76" s="25"/>
    </row>
    <row r="77" spans="1:9">
      <c r="A77" s="217" t="s">
        <v>200</v>
      </c>
      <c r="B77" s="196">
        <v>108500</v>
      </c>
      <c r="C77" s="35" t="s">
        <v>1</v>
      </c>
      <c r="D77" s="17">
        <v>108500</v>
      </c>
      <c r="E77" s="17">
        <v>0</v>
      </c>
      <c r="F77" s="17">
        <v>0</v>
      </c>
      <c r="G77" s="20">
        <f>SUM(D77:F77)</f>
        <v>108500</v>
      </c>
      <c r="H77" s="25"/>
    </row>
    <row r="78" spans="1:9">
      <c r="A78" s="195" t="s">
        <v>201</v>
      </c>
      <c r="B78" s="184"/>
      <c r="C78" s="35" t="s">
        <v>0</v>
      </c>
      <c r="D78" s="17"/>
      <c r="E78" s="17"/>
      <c r="F78" s="17"/>
      <c r="H78" s="25"/>
    </row>
    <row r="79" spans="1:9" ht="30" customHeight="1">
      <c r="A79" s="245" t="s">
        <v>108</v>
      </c>
      <c r="B79" s="170"/>
      <c r="C79" s="3" t="s">
        <v>1</v>
      </c>
      <c r="D79" s="58">
        <f>SUM(D8+D58+D75)</f>
        <v>7343170</v>
      </c>
      <c r="E79" s="58">
        <f>SUM(E8+E58)</f>
        <v>767050</v>
      </c>
      <c r="F79" s="58">
        <f>SUM(F8+F58)</f>
        <v>340700</v>
      </c>
      <c r="G79" s="20">
        <f>SUM(D79:F79)</f>
        <v>8450920</v>
      </c>
    </row>
    <row r="80" spans="1:9" ht="27.75" customHeight="1">
      <c r="A80" s="246"/>
      <c r="B80" s="171"/>
      <c r="C80" s="3" t="s">
        <v>0</v>
      </c>
      <c r="D80" s="58">
        <f>SUM(D9+D59)</f>
        <v>1239530</v>
      </c>
      <c r="E80" s="58">
        <f>SUM(E9+E59)</f>
        <v>0</v>
      </c>
      <c r="F80" s="58">
        <f>SUM(F9+F59)</f>
        <v>0</v>
      </c>
    </row>
    <row r="81" spans="1:7">
      <c r="A81" s="167" t="s">
        <v>58</v>
      </c>
      <c r="B81" s="167"/>
      <c r="C81" s="167"/>
      <c r="D81" s="168"/>
      <c r="E81" s="168"/>
      <c r="F81" s="168"/>
    </row>
    <row r="82" spans="1:7" ht="9.6" customHeight="1">
      <c r="A82" s="1"/>
      <c r="B82" s="1"/>
      <c r="C82" s="1"/>
    </row>
    <row r="83" spans="1:7" ht="28.5" customHeight="1">
      <c r="A83" s="2" t="s">
        <v>58</v>
      </c>
      <c r="B83" s="2"/>
      <c r="C83" s="1"/>
      <c r="D83" t="s">
        <v>58</v>
      </c>
    </row>
    <row r="85" spans="1:7">
      <c r="F85" s="58">
        <f>SUM(F80+F83)</f>
        <v>0</v>
      </c>
      <c r="G85" s="136">
        <f>G8+G58</f>
        <v>8342420</v>
      </c>
    </row>
    <row r="86" spans="1:7">
      <c r="D86" t="s">
        <v>58</v>
      </c>
      <c r="E86" t="s">
        <v>58</v>
      </c>
      <c r="F86" s="110"/>
    </row>
    <row r="87" spans="1:7">
      <c r="E87" t="s">
        <v>58</v>
      </c>
      <c r="F87" s="110"/>
    </row>
    <row r="92" spans="1:7">
      <c r="D92" t="s">
        <v>58</v>
      </c>
    </row>
  </sheetData>
  <mergeCells count="6">
    <mergeCell ref="A79:A80"/>
    <mergeCell ref="A1:D1"/>
    <mergeCell ref="E5:E6"/>
    <mergeCell ref="F5:F6"/>
    <mergeCell ref="D5:D6"/>
    <mergeCell ref="A5:A6"/>
  </mergeCells>
  <printOptions horizontalCentered="1"/>
  <pageMargins left="0.35433070866141736" right="0.19685039370078741" top="0.35433070866141736" bottom="0.23622047244094491" header="0.19685039370078741" footer="0.19685039370078741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G108"/>
  <sheetViews>
    <sheetView view="pageBreakPreview" zoomScale="80" zoomScaleSheetLayoutView="80" workbookViewId="0">
      <pane xSplit="2" ySplit="7" topLeftCell="C86" activePane="bottomRight" state="frozen"/>
      <selection pane="topRight" activeCell="C1" sqref="C1"/>
      <selection pane="bottomLeft" activeCell="A7" sqref="A7"/>
      <selection pane="bottomRight" activeCell="C95" sqref="C95"/>
    </sheetView>
  </sheetViews>
  <sheetFormatPr defaultRowHeight="24"/>
  <cols>
    <col min="1" max="1" width="66.37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152</v>
      </c>
      <c r="B3" s="12"/>
    </row>
    <row r="4" spans="1:7" ht="20.25" customHeight="1">
      <c r="A4" s="134"/>
      <c r="B4" s="12"/>
      <c r="C4" t="s">
        <v>58</v>
      </c>
    </row>
    <row r="5" spans="1:7">
      <c r="A5" s="12"/>
      <c r="B5" s="12"/>
      <c r="C5" s="11" t="s">
        <v>24</v>
      </c>
      <c r="D5" s="11" t="s">
        <v>24</v>
      </c>
      <c r="E5" s="11" t="s">
        <v>24</v>
      </c>
    </row>
    <row r="6" spans="1:7">
      <c r="A6" s="250" t="s">
        <v>126</v>
      </c>
      <c r="B6" s="10" t="s">
        <v>22</v>
      </c>
      <c r="C6" s="248" t="s">
        <v>255</v>
      </c>
      <c r="D6" s="248" t="s">
        <v>256</v>
      </c>
      <c r="E6" s="248" t="s">
        <v>257</v>
      </c>
    </row>
    <row r="7" spans="1:7">
      <c r="A7" s="251"/>
      <c r="B7" s="9" t="s">
        <v>0</v>
      </c>
      <c r="C7" s="249"/>
      <c r="D7" s="249"/>
      <c r="E7" s="249"/>
      <c r="F7" s="26" t="s">
        <v>25</v>
      </c>
      <c r="G7" s="23" t="s">
        <v>26</v>
      </c>
    </row>
    <row r="8" spans="1:7">
      <c r="A8" s="107" t="s">
        <v>140</v>
      </c>
      <c r="B8" s="141"/>
      <c r="C8" s="3"/>
      <c r="D8" s="3"/>
      <c r="E8" s="3"/>
      <c r="F8" s="26"/>
      <c r="G8" s="23"/>
    </row>
    <row r="9" spans="1:7">
      <c r="A9" s="66" t="s">
        <v>156</v>
      </c>
      <c r="B9" s="8" t="s">
        <v>1</v>
      </c>
      <c r="C9" s="57">
        <f t="shared" ref="C9:E10" si="0">SUM(C11+C18)</f>
        <v>2194988</v>
      </c>
      <c r="D9" s="57">
        <f t="shared" si="0"/>
        <v>583800</v>
      </c>
      <c r="E9" s="57">
        <f t="shared" si="0"/>
        <v>324700</v>
      </c>
      <c r="F9" s="57">
        <f>SUM(C9:E9)</f>
        <v>3103488</v>
      </c>
    </row>
    <row r="10" spans="1:7">
      <c r="A10" s="67"/>
      <c r="B10" s="8" t="s">
        <v>0</v>
      </c>
      <c r="C10" s="57">
        <f>SUM(C19)</f>
        <v>304150</v>
      </c>
      <c r="D10" s="57">
        <f t="shared" si="0"/>
        <v>0</v>
      </c>
      <c r="E10" s="57">
        <f t="shared" si="0"/>
        <v>0</v>
      </c>
    </row>
    <row r="11" spans="1:7" s="4" customFormat="1">
      <c r="A11" s="29" t="s">
        <v>129</v>
      </c>
      <c r="B11" s="7" t="s">
        <v>1</v>
      </c>
      <c r="C11" s="14">
        <f>SUM(C14:C16)</f>
        <v>205638</v>
      </c>
      <c r="D11" s="14">
        <f>SUM(D14:D16)</f>
        <v>0</v>
      </c>
      <c r="E11" s="14">
        <f>SUM(E14:E16)</f>
        <v>0</v>
      </c>
      <c r="F11" s="14">
        <f>SUM(C11:E11)</f>
        <v>205638</v>
      </c>
      <c r="G11" s="24">
        <f>F11-C11-D11-E11</f>
        <v>0</v>
      </c>
    </row>
    <row r="12" spans="1:7" s="4" customFormat="1">
      <c r="A12" s="30" t="s">
        <v>58</v>
      </c>
      <c r="B12" s="7" t="s">
        <v>0</v>
      </c>
      <c r="C12" s="14">
        <f>SUM(C15+C17)</f>
        <v>185238</v>
      </c>
      <c r="D12" s="14">
        <v>0</v>
      </c>
      <c r="E12" s="14">
        <v>0</v>
      </c>
      <c r="F12" s="21"/>
      <c r="G12" s="18"/>
    </row>
    <row r="13" spans="1:7" s="5" customFormat="1">
      <c r="A13" s="48" t="s">
        <v>130</v>
      </c>
      <c r="B13" s="6"/>
      <c r="C13" s="15"/>
      <c r="D13" s="15"/>
      <c r="E13" s="15"/>
      <c r="F13" s="22"/>
      <c r="G13" s="19"/>
    </row>
    <row r="14" spans="1:7" s="5" customFormat="1">
      <c r="A14" s="44" t="s">
        <v>16</v>
      </c>
      <c r="B14" s="6" t="s">
        <v>1</v>
      </c>
      <c r="C14" s="15">
        <v>7200</v>
      </c>
      <c r="D14" s="15">
        <v>0</v>
      </c>
      <c r="E14" s="15">
        <v>0</v>
      </c>
      <c r="F14" s="22">
        <v>87300</v>
      </c>
      <c r="G14" s="25">
        <f t="shared" ref="G14" si="1">F14-C14-D14-E14</f>
        <v>80100</v>
      </c>
    </row>
    <row r="15" spans="1:7" s="5" customFormat="1">
      <c r="A15" s="44"/>
      <c r="B15" s="6" t="s">
        <v>0</v>
      </c>
      <c r="C15" s="15">
        <v>185238</v>
      </c>
      <c r="D15" s="15">
        <v>0</v>
      </c>
      <c r="E15" s="15">
        <v>0</v>
      </c>
      <c r="F15" s="22"/>
      <c r="G15" s="25"/>
    </row>
    <row r="16" spans="1:7" s="5" customFormat="1">
      <c r="A16" s="49" t="s">
        <v>234</v>
      </c>
      <c r="B16" s="6" t="s">
        <v>1</v>
      </c>
      <c r="C16" s="15">
        <v>13200</v>
      </c>
      <c r="D16" s="15">
        <v>0</v>
      </c>
      <c r="E16" s="15">
        <v>0</v>
      </c>
      <c r="F16" s="22">
        <v>2600</v>
      </c>
      <c r="G16" s="25">
        <f>F16-C16-D16-E16</f>
        <v>-10600</v>
      </c>
    </row>
    <row r="17" spans="1:7" s="5" customFormat="1">
      <c r="A17" s="49"/>
      <c r="B17" s="6" t="s">
        <v>0</v>
      </c>
      <c r="C17" s="15">
        <v>0</v>
      </c>
      <c r="D17" s="15">
        <v>0</v>
      </c>
      <c r="E17" s="15">
        <v>0</v>
      </c>
      <c r="F17" s="22"/>
      <c r="G17" s="25"/>
    </row>
    <row r="18" spans="1:7" s="4" customFormat="1">
      <c r="A18" s="29" t="s">
        <v>131</v>
      </c>
      <c r="B18" s="7" t="s">
        <v>1</v>
      </c>
      <c r="C18" s="14">
        <f>SUM(C21:C46)</f>
        <v>1989350</v>
      </c>
      <c r="D18" s="14">
        <f>SUM(D21:D46)</f>
        <v>583800</v>
      </c>
      <c r="E18" s="14">
        <f>SUM(E21:E46)</f>
        <v>324700</v>
      </c>
      <c r="F18" s="14">
        <f>SUM(C18:E18)</f>
        <v>2897850</v>
      </c>
      <c r="G18" s="24">
        <f>F18-C18-D18-E18</f>
        <v>0</v>
      </c>
    </row>
    <row r="19" spans="1:7" s="4" customFormat="1">
      <c r="A19" s="30"/>
      <c r="B19" s="7" t="s">
        <v>0</v>
      </c>
      <c r="C19" s="14">
        <f>SUM(C23+C26+C28+C30+C32+C37+C39+C41+C43+C45+C47)</f>
        <v>304150</v>
      </c>
      <c r="D19" s="14">
        <f>SUM(D23+D26+D28+D30+D32+D37+D39+D41+D43+D45+D47)</f>
        <v>0</v>
      </c>
      <c r="E19" s="14">
        <f>SUM(E23+E26+E28+E30+E32+E37+E39+E41+E43+E45+E47)</f>
        <v>0</v>
      </c>
      <c r="F19" s="21"/>
      <c r="G19" s="18"/>
    </row>
    <row r="20" spans="1:7" s="4" customFormat="1">
      <c r="A20" s="48" t="s">
        <v>130</v>
      </c>
      <c r="B20" s="7"/>
      <c r="C20" s="14"/>
      <c r="D20" s="14"/>
      <c r="E20" s="14"/>
      <c r="F20" s="21"/>
      <c r="G20" s="18"/>
    </row>
    <row r="21" spans="1:7" s="5" customFormat="1">
      <c r="A21" s="143" t="s">
        <v>27</v>
      </c>
      <c r="B21" s="6"/>
      <c r="C21" s="15"/>
      <c r="D21" s="15"/>
      <c r="E21" s="15"/>
      <c r="F21" s="22"/>
      <c r="G21" s="19"/>
    </row>
    <row r="22" spans="1:7" s="5" customFormat="1">
      <c r="A22" s="68" t="s">
        <v>21</v>
      </c>
      <c r="B22" s="6" t="s">
        <v>1</v>
      </c>
      <c r="C22" s="15">
        <v>266900</v>
      </c>
      <c r="D22" s="15">
        <v>266900</v>
      </c>
      <c r="E22" s="15">
        <v>266900</v>
      </c>
      <c r="F22" s="22">
        <f>SUM(C22:E22)</f>
        <v>800700</v>
      </c>
      <c r="G22" s="25">
        <f t="shared" ref="G22" si="2">F22-C22-D22-E22</f>
        <v>0</v>
      </c>
    </row>
    <row r="23" spans="1:7" s="5" customFormat="1">
      <c r="A23" s="68"/>
      <c r="B23" s="6" t="s">
        <v>0</v>
      </c>
      <c r="C23" s="15">
        <v>165090</v>
      </c>
      <c r="D23" s="15">
        <v>0</v>
      </c>
      <c r="E23" s="15">
        <v>0</v>
      </c>
      <c r="F23" s="22"/>
      <c r="G23" s="25"/>
    </row>
    <row r="24" spans="1:7" s="5" customFormat="1">
      <c r="A24" s="43" t="s">
        <v>28</v>
      </c>
      <c r="B24" s="6"/>
      <c r="C24" s="15"/>
      <c r="D24" s="15"/>
      <c r="E24" s="15"/>
      <c r="F24" s="22">
        <f>SUM(F25:F33)</f>
        <v>1129100</v>
      </c>
      <c r="G24" s="25">
        <f t="shared" ref="G24:G38" si="3">F24-C24-D24-E24</f>
        <v>1129100</v>
      </c>
    </row>
    <row r="25" spans="1:7" s="5" customFormat="1">
      <c r="A25" s="71" t="s">
        <v>53</v>
      </c>
      <c r="B25" s="6" t="s">
        <v>1</v>
      </c>
      <c r="C25" s="15">
        <v>10000</v>
      </c>
      <c r="D25" s="15">
        <v>14000</v>
      </c>
      <c r="E25" s="15">
        <v>20300</v>
      </c>
      <c r="F25" s="22">
        <f>SUM(C25:E25)</f>
        <v>44300</v>
      </c>
      <c r="G25" s="25">
        <f t="shared" si="3"/>
        <v>0</v>
      </c>
    </row>
    <row r="26" spans="1:7" s="5" customFormat="1">
      <c r="A26" s="71"/>
      <c r="B26" s="6" t="s">
        <v>0</v>
      </c>
      <c r="C26" s="15">
        <v>0</v>
      </c>
      <c r="D26" s="15">
        <v>0</v>
      </c>
      <c r="E26" s="15">
        <v>0</v>
      </c>
      <c r="F26" s="22"/>
      <c r="G26" s="25"/>
    </row>
    <row r="27" spans="1:7" s="5" customFormat="1">
      <c r="A27" s="72" t="s">
        <v>55</v>
      </c>
      <c r="B27" s="6" t="s">
        <v>1</v>
      </c>
      <c r="C27" s="15">
        <v>23600</v>
      </c>
      <c r="D27" s="15">
        <v>0</v>
      </c>
      <c r="E27" s="15">
        <v>0</v>
      </c>
      <c r="F27" s="22">
        <f>SUM(D27:E27)</f>
        <v>0</v>
      </c>
      <c r="G27" s="25">
        <f t="shared" si="3"/>
        <v>-23600</v>
      </c>
    </row>
    <row r="28" spans="1:7" s="5" customFormat="1">
      <c r="A28" s="72"/>
      <c r="B28" s="6" t="s">
        <v>0</v>
      </c>
      <c r="C28" s="15">
        <v>0</v>
      </c>
      <c r="D28" s="15"/>
      <c r="E28" s="15"/>
      <c r="F28" s="22"/>
      <c r="G28" s="25"/>
    </row>
    <row r="29" spans="1:7" s="5" customFormat="1">
      <c r="A29" s="72" t="s">
        <v>212</v>
      </c>
      <c r="B29" s="6" t="s">
        <v>1</v>
      </c>
      <c r="C29" s="15">
        <v>151200</v>
      </c>
      <c r="D29" s="15">
        <v>0</v>
      </c>
      <c r="E29" s="15">
        <v>0</v>
      </c>
      <c r="F29" s="22">
        <f>SUM(C29:E29)</f>
        <v>151200</v>
      </c>
      <c r="G29" s="25">
        <f t="shared" ref="G29:G33" si="4">F29-C29-D29-E29</f>
        <v>0</v>
      </c>
    </row>
    <row r="30" spans="1:7" s="5" customFormat="1">
      <c r="A30" s="72"/>
      <c r="B30" s="6" t="s">
        <v>0</v>
      </c>
      <c r="C30" s="15">
        <v>35160</v>
      </c>
      <c r="D30" s="15"/>
      <c r="E30" s="15"/>
      <c r="F30" s="22"/>
      <c r="G30" s="25"/>
    </row>
    <row r="31" spans="1:7" s="5" customFormat="1">
      <c r="A31" s="72" t="s">
        <v>213</v>
      </c>
      <c r="B31" s="6" t="s">
        <v>1</v>
      </c>
      <c r="C31" s="15">
        <v>501600</v>
      </c>
      <c r="D31" s="15">
        <v>0</v>
      </c>
      <c r="E31" s="15">
        <v>0</v>
      </c>
      <c r="F31" s="22">
        <f>SUM(C31:E31)</f>
        <v>501600</v>
      </c>
      <c r="G31" s="25">
        <f t="shared" ref="G31" si="5">F31-C31-D31-E31</f>
        <v>0</v>
      </c>
    </row>
    <row r="32" spans="1:7" s="5" customFormat="1">
      <c r="A32" s="236"/>
      <c r="B32" s="6" t="s">
        <v>0</v>
      </c>
      <c r="C32" s="15">
        <v>0</v>
      </c>
      <c r="D32" s="15"/>
      <c r="E32" s="15"/>
      <c r="F32" s="22"/>
      <c r="G32" s="25"/>
    </row>
    <row r="33" spans="1:7" s="5" customFormat="1">
      <c r="A33" s="158" t="s">
        <v>214</v>
      </c>
      <c r="B33" s="6" t="s">
        <v>1</v>
      </c>
      <c r="C33" s="15">
        <v>432000</v>
      </c>
      <c r="D33" s="15">
        <v>0</v>
      </c>
      <c r="E33" s="15">
        <v>0</v>
      </c>
      <c r="F33" s="22">
        <f>SUM(C33:E33)</f>
        <v>432000</v>
      </c>
      <c r="G33" s="25">
        <f t="shared" si="4"/>
        <v>0</v>
      </c>
    </row>
    <row r="34" spans="1:7" s="5" customFormat="1">
      <c r="A34" s="158"/>
      <c r="B34" s="6" t="s">
        <v>0</v>
      </c>
      <c r="C34" s="15">
        <v>108000</v>
      </c>
      <c r="D34" s="15">
        <v>0</v>
      </c>
      <c r="E34" s="15">
        <v>0</v>
      </c>
      <c r="F34" s="22"/>
      <c r="G34" s="25"/>
    </row>
    <row r="35" spans="1:7" s="5" customFormat="1">
      <c r="A35" s="45" t="s">
        <v>132</v>
      </c>
      <c r="B35" s="6"/>
      <c r="C35" s="15"/>
      <c r="D35" s="15"/>
      <c r="E35" s="15"/>
      <c r="F35" s="22">
        <f>SUM(F36:F40)</f>
        <v>393500</v>
      </c>
      <c r="G35" s="25"/>
    </row>
    <row r="36" spans="1:7" s="5" customFormat="1">
      <c r="A36" s="70" t="s">
        <v>199</v>
      </c>
      <c r="B36" s="6" t="s">
        <v>1</v>
      </c>
      <c r="C36" s="15">
        <v>120000</v>
      </c>
      <c r="D36" s="15">
        <v>100000</v>
      </c>
      <c r="E36" s="15">
        <v>25900</v>
      </c>
      <c r="F36" s="22">
        <f>SUM(C36:E36)</f>
        <v>245900</v>
      </c>
      <c r="G36" s="25">
        <f t="shared" si="3"/>
        <v>0</v>
      </c>
    </row>
    <row r="37" spans="1:7" s="5" customFormat="1">
      <c r="A37" s="70"/>
      <c r="B37" s="6" t="s">
        <v>0</v>
      </c>
      <c r="C37" s="15">
        <v>0</v>
      </c>
      <c r="D37" s="15"/>
      <c r="E37" s="15"/>
      <c r="F37" s="22"/>
      <c r="G37" s="25"/>
    </row>
    <row r="38" spans="1:7" s="5" customFormat="1">
      <c r="A38" s="68" t="s">
        <v>9</v>
      </c>
      <c r="B38" s="6" t="s">
        <v>1</v>
      </c>
      <c r="C38" s="15">
        <v>59000</v>
      </c>
      <c r="D38" s="15">
        <v>59000</v>
      </c>
      <c r="E38" s="15">
        <v>0</v>
      </c>
      <c r="F38" s="22">
        <f t="shared" ref="F38:F40" si="6">SUM(C38:E38)</f>
        <v>118000</v>
      </c>
      <c r="G38" s="25">
        <f t="shared" si="3"/>
        <v>0</v>
      </c>
    </row>
    <row r="39" spans="1:7" s="5" customFormat="1">
      <c r="A39" s="68"/>
      <c r="B39" s="6" t="s">
        <v>0</v>
      </c>
      <c r="C39" s="15">
        <v>0</v>
      </c>
      <c r="D39" s="15"/>
      <c r="E39" s="15"/>
      <c r="F39" s="22"/>
      <c r="G39" s="25"/>
    </row>
    <row r="40" spans="1:7" s="5" customFormat="1">
      <c r="A40" s="68" t="s">
        <v>8</v>
      </c>
      <c r="B40" s="6" t="s">
        <v>1</v>
      </c>
      <c r="C40" s="15">
        <v>9000</v>
      </c>
      <c r="D40" s="15">
        <v>9000</v>
      </c>
      <c r="E40" s="15">
        <v>11600</v>
      </c>
      <c r="F40" s="22">
        <f t="shared" si="6"/>
        <v>29600</v>
      </c>
      <c r="G40" s="25">
        <f t="shared" ref="G40" si="7">F40-C40-D40-E40</f>
        <v>0</v>
      </c>
    </row>
    <row r="41" spans="1:7" s="5" customFormat="1">
      <c r="A41" s="68"/>
      <c r="B41" s="6" t="s">
        <v>0</v>
      </c>
      <c r="C41" s="15">
        <v>0</v>
      </c>
      <c r="D41" s="15"/>
      <c r="E41" s="15"/>
      <c r="F41" s="22"/>
      <c r="G41" s="25"/>
    </row>
    <row r="42" spans="1:7" s="5" customFormat="1">
      <c r="A42" s="49" t="s">
        <v>7</v>
      </c>
      <c r="B42" s="190" t="s">
        <v>1</v>
      </c>
      <c r="C42" s="15">
        <v>3900</v>
      </c>
      <c r="D42" s="15">
        <v>0</v>
      </c>
      <c r="E42" s="15">
        <v>0</v>
      </c>
      <c r="F42" s="22">
        <v>2600</v>
      </c>
      <c r="G42" s="25">
        <f>F42-C42-D42-E42</f>
        <v>-1300</v>
      </c>
    </row>
    <row r="43" spans="1:7" s="5" customFormat="1">
      <c r="A43" s="49"/>
      <c r="B43" s="6" t="s">
        <v>0</v>
      </c>
      <c r="C43" s="15">
        <v>3900</v>
      </c>
      <c r="D43" s="15"/>
      <c r="E43" s="15"/>
      <c r="F43" s="22"/>
      <c r="G43" s="25"/>
    </row>
    <row r="44" spans="1:7" s="5" customFormat="1">
      <c r="A44" s="157" t="s">
        <v>260</v>
      </c>
      <c r="B44" s="6" t="s">
        <v>1</v>
      </c>
      <c r="C44" s="15">
        <v>0</v>
      </c>
      <c r="D44" s="15">
        <v>134900</v>
      </c>
      <c r="E44" s="15">
        <v>0</v>
      </c>
      <c r="F44" s="22">
        <v>2600</v>
      </c>
      <c r="G44" s="25">
        <f>F44-C44-D44-E44</f>
        <v>-132300</v>
      </c>
    </row>
    <row r="45" spans="1:7" s="5" customFormat="1">
      <c r="A45" s="157"/>
      <c r="B45" s="6" t="s">
        <v>0</v>
      </c>
      <c r="C45" s="15"/>
      <c r="D45" s="15"/>
      <c r="E45" s="15"/>
      <c r="F45" s="22"/>
      <c r="G45" s="25"/>
    </row>
    <row r="46" spans="1:7" s="5" customFormat="1">
      <c r="A46" s="49" t="s">
        <v>261</v>
      </c>
      <c r="B46" s="6" t="s">
        <v>1</v>
      </c>
      <c r="C46" s="15">
        <v>100000</v>
      </c>
      <c r="D46" s="15">
        <v>0</v>
      </c>
      <c r="E46" s="15">
        <v>0</v>
      </c>
      <c r="F46" s="22">
        <v>2600</v>
      </c>
      <c r="G46" s="25">
        <f>F46-C46-D46-E46</f>
        <v>-97400</v>
      </c>
    </row>
    <row r="47" spans="1:7" s="5" customFormat="1">
      <c r="A47" s="166"/>
      <c r="B47" s="206" t="s">
        <v>0</v>
      </c>
      <c r="C47" s="15">
        <v>100000</v>
      </c>
      <c r="D47" s="15"/>
      <c r="E47" s="15"/>
      <c r="F47" s="22"/>
      <c r="G47" s="25"/>
    </row>
    <row r="48" spans="1:7">
      <c r="A48" s="107" t="s">
        <v>140</v>
      </c>
      <c r="B48" s="141"/>
      <c r="C48" s="3"/>
      <c r="D48" s="3"/>
      <c r="E48" s="3"/>
      <c r="F48" s="26"/>
      <c r="G48" s="23"/>
    </row>
    <row r="49" spans="1:7">
      <c r="A49" s="66" t="s">
        <v>157</v>
      </c>
      <c r="B49" s="8" t="s">
        <v>1</v>
      </c>
      <c r="C49" s="57">
        <f>C51+C53+C71</f>
        <v>24446453.550000001</v>
      </c>
      <c r="D49" s="57">
        <f>D51+D53+D71</f>
        <v>17751700</v>
      </c>
      <c r="E49" s="57">
        <f>E51+E53+E71+E97</f>
        <v>14716800</v>
      </c>
      <c r="F49" s="57">
        <f>SUM(C49:E49)</f>
        <v>56914953.549999997</v>
      </c>
    </row>
    <row r="50" spans="1:7">
      <c r="A50" s="67"/>
      <c r="B50" s="8" t="s">
        <v>0</v>
      </c>
      <c r="C50" s="57">
        <f>SUM(C54+C72+C98)</f>
        <v>10190713.550000001</v>
      </c>
      <c r="D50" s="57">
        <f>SUM(D54+D72+D98)</f>
        <v>0</v>
      </c>
      <c r="E50" s="57">
        <f>SUM(E54+E72+E98)</f>
        <v>0</v>
      </c>
    </row>
    <row r="51" spans="1:7" s="4" customFormat="1">
      <c r="A51" s="29" t="s">
        <v>129</v>
      </c>
      <c r="B51" s="7" t="s">
        <v>1</v>
      </c>
      <c r="C51" s="14">
        <v>0</v>
      </c>
      <c r="D51" s="14">
        <v>0</v>
      </c>
      <c r="E51" s="14">
        <v>0</v>
      </c>
      <c r="F51" s="14" t="e">
        <f>SUM(#REF!)</f>
        <v>#REF!</v>
      </c>
      <c r="G51" s="24" t="e">
        <f>F51-C51-D51-E51</f>
        <v>#REF!</v>
      </c>
    </row>
    <row r="52" spans="1:7" s="4" customFormat="1">
      <c r="A52" s="30" t="s">
        <v>58</v>
      </c>
      <c r="B52" s="7" t="s">
        <v>0</v>
      </c>
      <c r="C52" s="14"/>
      <c r="D52" s="14"/>
      <c r="E52" s="14"/>
      <c r="F52" s="21"/>
      <c r="G52" s="18"/>
    </row>
    <row r="53" spans="1:7" s="4" customFormat="1">
      <c r="A53" s="29" t="s">
        <v>131</v>
      </c>
      <c r="B53" s="7" t="s">
        <v>1</v>
      </c>
      <c r="C53" s="14">
        <f>SUM(C57:C69)</f>
        <v>19374420</v>
      </c>
      <c r="D53" s="14">
        <f>SUM(D57:D69)</f>
        <v>13122300</v>
      </c>
      <c r="E53" s="14">
        <f>SUM(E57:E69)</f>
        <v>11665400</v>
      </c>
      <c r="F53" s="14">
        <f>SUM(F57:F69)</f>
        <v>37910000</v>
      </c>
      <c r="G53" s="24">
        <f>F53-C53-D53-E53</f>
        <v>-6252120</v>
      </c>
    </row>
    <row r="54" spans="1:7" s="4" customFormat="1" ht="21" customHeight="1">
      <c r="A54" s="30"/>
      <c r="B54" s="7" t="s">
        <v>0</v>
      </c>
      <c r="C54" s="14">
        <f>SUM(C58+C60+C63+C65+C68+C70+C70)</f>
        <v>8596480</v>
      </c>
      <c r="D54" s="14">
        <f>SUM(D58+D60+D63+D65+D68+D70+D70)</f>
        <v>0</v>
      </c>
      <c r="E54" s="14">
        <f>SUM(E58+E60+E63+E65+E68+E70+E70)</f>
        <v>0</v>
      </c>
      <c r="F54" s="21"/>
      <c r="G54" s="18"/>
    </row>
    <row r="55" spans="1:7" s="4" customFormat="1">
      <c r="A55" s="48" t="s">
        <v>130</v>
      </c>
      <c r="B55" s="7"/>
      <c r="C55" s="14"/>
      <c r="D55" s="14"/>
      <c r="E55" s="14"/>
      <c r="F55" s="21"/>
      <c r="G55" s="18"/>
    </row>
    <row r="56" spans="1:7" s="5" customFormat="1">
      <c r="A56" s="143" t="s">
        <v>27</v>
      </c>
      <c r="B56" s="6"/>
      <c r="C56" s="15"/>
      <c r="D56" s="15"/>
      <c r="E56" s="15"/>
      <c r="F56" s="22"/>
      <c r="G56" s="19"/>
    </row>
    <row r="57" spans="1:7" s="5" customFormat="1">
      <c r="A57" s="237" t="s">
        <v>52</v>
      </c>
      <c r="B57" s="6" t="s">
        <v>1</v>
      </c>
      <c r="C57" s="15">
        <v>9177600</v>
      </c>
      <c r="D57" s="15">
        <v>9177600</v>
      </c>
      <c r="E57" s="15">
        <v>9177600</v>
      </c>
      <c r="F57" s="22">
        <f>SUM(C57:E57)</f>
        <v>27532800</v>
      </c>
      <c r="G57" s="25">
        <f t="shared" ref="G57:G64" si="8">F57-C57-D57-E57</f>
        <v>0</v>
      </c>
    </row>
    <row r="58" spans="1:7" s="5" customFormat="1">
      <c r="A58" s="239"/>
      <c r="B58" s="6" t="s">
        <v>0</v>
      </c>
      <c r="C58" s="15">
        <v>6118600</v>
      </c>
      <c r="D58" s="15"/>
      <c r="E58" s="15"/>
      <c r="F58" s="22"/>
      <c r="G58" s="25"/>
    </row>
    <row r="59" spans="1:7" s="5" customFormat="1">
      <c r="A59" s="69" t="s">
        <v>235</v>
      </c>
      <c r="B59" s="6" t="s">
        <v>1</v>
      </c>
      <c r="C59" s="15">
        <v>568000</v>
      </c>
      <c r="D59" s="15">
        <v>568000</v>
      </c>
      <c r="E59" s="15">
        <v>568000</v>
      </c>
      <c r="F59" s="22">
        <f t="shared" ref="F59" si="9">SUM(C59:E59)</f>
        <v>1704000</v>
      </c>
      <c r="G59" s="25">
        <f t="shared" si="8"/>
        <v>0</v>
      </c>
    </row>
    <row r="60" spans="1:7" s="5" customFormat="1">
      <c r="A60" s="69"/>
      <c r="B60" s="132" t="s">
        <v>0</v>
      </c>
      <c r="C60" s="133">
        <v>132000</v>
      </c>
      <c r="D60" s="133">
        <v>0</v>
      </c>
      <c r="E60" s="133">
        <v>0</v>
      </c>
      <c r="F60" s="22"/>
      <c r="G60" s="25"/>
    </row>
    <row r="61" spans="1:7" s="5" customFormat="1">
      <c r="A61" s="43" t="s">
        <v>28</v>
      </c>
      <c r="B61" s="6"/>
      <c r="C61" s="15"/>
      <c r="D61" s="15"/>
      <c r="E61" s="15"/>
      <c r="F61" s="22"/>
      <c r="G61" s="25">
        <f t="shared" si="8"/>
        <v>0</v>
      </c>
    </row>
    <row r="62" spans="1:7" s="5" customFormat="1">
      <c r="A62" s="72" t="s">
        <v>262</v>
      </c>
      <c r="B62" s="6" t="s">
        <v>1</v>
      </c>
      <c r="C62" s="15">
        <v>12000</v>
      </c>
      <c r="D62" s="15">
        <v>12000</v>
      </c>
      <c r="E62" s="15">
        <v>12000</v>
      </c>
      <c r="F62" s="22">
        <f>SUM(C62:E62)</f>
        <v>36000</v>
      </c>
      <c r="G62" s="25">
        <f t="shared" si="8"/>
        <v>0</v>
      </c>
    </row>
    <row r="63" spans="1:7" s="5" customFormat="1">
      <c r="A63" s="72"/>
      <c r="B63" s="6" t="s">
        <v>0</v>
      </c>
      <c r="C63" s="15">
        <v>0</v>
      </c>
      <c r="D63" s="15">
        <v>0</v>
      </c>
      <c r="E63" s="15">
        <v>0</v>
      </c>
      <c r="F63" s="22"/>
      <c r="G63" s="25"/>
    </row>
    <row r="64" spans="1:7" s="5" customFormat="1">
      <c r="A64" s="73" t="s">
        <v>54</v>
      </c>
      <c r="B64" s="6" t="s">
        <v>1</v>
      </c>
      <c r="C64" s="15">
        <v>9800</v>
      </c>
      <c r="D64" s="15">
        <v>9800</v>
      </c>
      <c r="E64" s="15">
        <v>9600</v>
      </c>
      <c r="F64" s="22">
        <f>SUM(C64:E64)</f>
        <v>29200</v>
      </c>
      <c r="G64" s="64">
        <f t="shared" si="8"/>
        <v>0</v>
      </c>
    </row>
    <row r="65" spans="1:7" s="5" customFormat="1">
      <c r="A65" s="73"/>
      <c r="B65" s="6" t="s">
        <v>0</v>
      </c>
      <c r="C65" s="15">
        <v>1520</v>
      </c>
      <c r="D65" s="15">
        <v>0</v>
      </c>
      <c r="E65" s="15">
        <v>0</v>
      </c>
      <c r="F65" s="22"/>
      <c r="G65" s="64"/>
    </row>
    <row r="66" spans="1:7" s="5" customFormat="1">
      <c r="A66" s="45" t="s">
        <v>132</v>
      </c>
      <c r="B66" s="6"/>
      <c r="C66" s="15"/>
      <c r="D66" s="15"/>
      <c r="E66" s="15"/>
      <c r="F66" s="22"/>
      <c r="G66" s="25"/>
    </row>
    <row r="67" spans="1:7" s="5" customFormat="1">
      <c r="A67" s="68" t="s">
        <v>56</v>
      </c>
      <c r="B67" s="6" t="s">
        <v>1</v>
      </c>
      <c r="C67" s="15">
        <v>80000</v>
      </c>
      <c r="D67" s="15">
        <v>80000</v>
      </c>
      <c r="E67" s="15">
        <v>0</v>
      </c>
      <c r="F67" s="22">
        <f>SUM(C67:E67)</f>
        <v>160000</v>
      </c>
      <c r="G67" s="25">
        <f t="shared" ref="G67" si="10">F67-C67-D67-E67</f>
        <v>0</v>
      </c>
    </row>
    <row r="68" spans="1:7" s="5" customFormat="1">
      <c r="A68" s="68"/>
      <c r="B68" s="6" t="s">
        <v>0</v>
      </c>
      <c r="C68" s="15">
        <v>0</v>
      </c>
      <c r="D68" s="15">
        <v>0</v>
      </c>
      <c r="E68" s="15">
        <v>0</v>
      </c>
      <c r="F68" s="22"/>
      <c r="G68" s="25"/>
    </row>
    <row r="69" spans="1:7" s="5" customFormat="1">
      <c r="A69" s="229" t="s">
        <v>57</v>
      </c>
      <c r="B69" s="6" t="s">
        <v>1</v>
      </c>
      <c r="C69" s="15">
        <v>3274900</v>
      </c>
      <c r="D69" s="15">
        <v>3274900</v>
      </c>
      <c r="E69" s="15">
        <v>1898200</v>
      </c>
      <c r="F69" s="22">
        <f>SUM(C69:E69)</f>
        <v>8448000</v>
      </c>
      <c r="G69" s="25">
        <f t="shared" ref="G69:G71" si="11">F69-C69-D69-E69</f>
        <v>0</v>
      </c>
    </row>
    <row r="70" spans="1:7" s="5" customFormat="1">
      <c r="A70" s="229"/>
      <c r="B70" s="6" t="s">
        <v>0</v>
      </c>
      <c r="C70" s="15">
        <v>1172180</v>
      </c>
      <c r="D70" s="15">
        <v>0</v>
      </c>
      <c r="E70" s="15">
        <v>0</v>
      </c>
      <c r="F70" s="22"/>
      <c r="G70" s="25"/>
    </row>
    <row r="71" spans="1:7" s="4" customFormat="1">
      <c r="A71" s="31" t="s">
        <v>133</v>
      </c>
      <c r="B71" s="32" t="s">
        <v>1</v>
      </c>
      <c r="C71" s="16">
        <f>SUM(C73:C96)</f>
        <v>5072033.55</v>
      </c>
      <c r="D71" s="16">
        <f>SUM(D73:D96)</f>
        <v>4629400</v>
      </c>
      <c r="E71" s="16">
        <f>SUM(E73:E96)</f>
        <v>3051400</v>
      </c>
      <c r="F71" s="16">
        <f>SUM(C71:E71)</f>
        <v>12752833.550000001</v>
      </c>
      <c r="G71" s="24">
        <f t="shared" si="11"/>
        <v>0</v>
      </c>
    </row>
    <row r="72" spans="1:7" s="4" customFormat="1" ht="21.75" customHeight="1">
      <c r="A72" s="33"/>
      <c r="B72" s="7" t="s">
        <v>0</v>
      </c>
      <c r="C72" s="16">
        <f>SUM(+C74+C76+C78+C80+C82+C84+C86+C88+C90+C92+C94+C96)</f>
        <v>1594233.55</v>
      </c>
      <c r="D72" s="16">
        <v>0</v>
      </c>
      <c r="E72" s="16">
        <v>0</v>
      </c>
      <c r="F72" s="21"/>
      <c r="G72" s="18"/>
    </row>
    <row r="73" spans="1:7">
      <c r="A73" s="34" t="s">
        <v>59</v>
      </c>
      <c r="B73" s="35" t="s">
        <v>1</v>
      </c>
      <c r="C73" s="17">
        <v>1770000</v>
      </c>
      <c r="D73" s="17">
        <v>1770000</v>
      </c>
      <c r="E73" s="17">
        <v>1770000</v>
      </c>
      <c r="F73" s="20">
        <f>SUM(C73:E73)</f>
        <v>5310000</v>
      </c>
      <c r="G73" s="25">
        <f>F73-C73-D73-E73</f>
        <v>0</v>
      </c>
    </row>
    <row r="74" spans="1:7">
      <c r="A74" s="36" t="s">
        <v>58</v>
      </c>
      <c r="B74" s="35" t="s">
        <v>0</v>
      </c>
      <c r="C74" s="17">
        <v>630296</v>
      </c>
      <c r="D74" s="17">
        <v>0</v>
      </c>
      <c r="E74" s="17">
        <v>0</v>
      </c>
    </row>
    <row r="75" spans="1:7">
      <c r="A75" s="34" t="s">
        <v>66</v>
      </c>
      <c r="B75" s="35" t="s">
        <v>1</v>
      </c>
      <c r="C75" s="17">
        <v>100000</v>
      </c>
      <c r="D75" s="17">
        <v>0</v>
      </c>
      <c r="E75" s="17">
        <v>0</v>
      </c>
      <c r="F75" s="20">
        <v>100000</v>
      </c>
      <c r="G75" s="25">
        <f>F75-C75-D75-E75</f>
        <v>0</v>
      </c>
    </row>
    <row r="76" spans="1:7" ht="21.75" customHeight="1">
      <c r="A76" s="37" t="s">
        <v>2</v>
      </c>
      <c r="B76" s="35" t="s">
        <v>0</v>
      </c>
      <c r="C76" s="17">
        <v>53240</v>
      </c>
      <c r="D76" s="17"/>
      <c r="E76" s="17"/>
    </row>
    <row r="77" spans="1:7">
      <c r="A77" s="34" t="s">
        <v>236</v>
      </c>
      <c r="B77" s="35" t="s">
        <v>1</v>
      </c>
      <c r="C77" s="17">
        <v>0</v>
      </c>
      <c r="D77" s="17">
        <v>1542900</v>
      </c>
      <c r="E77" s="17">
        <v>0</v>
      </c>
    </row>
    <row r="78" spans="1:7">
      <c r="A78" s="36" t="s">
        <v>237</v>
      </c>
      <c r="B78" s="35" t="s">
        <v>0</v>
      </c>
      <c r="C78" s="17"/>
      <c r="D78" s="17"/>
      <c r="E78" s="17"/>
    </row>
    <row r="79" spans="1:7">
      <c r="A79" s="34" t="s">
        <v>65</v>
      </c>
      <c r="B79" s="35" t="s">
        <v>1</v>
      </c>
      <c r="C79" s="17">
        <v>590600</v>
      </c>
      <c r="D79" s="17">
        <v>532500</v>
      </c>
      <c r="E79" s="17">
        <v>490600</v>
      </c>
      <c r="F79" s="20">
        <f>SUM(C79:E79)</f>
        <v>1613700</v>
      </c>
      <c r="G79" s="25">
        <f>F79-C79-D79-E79</f>
        <v>0</v>
      </c>
    </row>
    <row r="80" spans="1:7" ht="20.25" customHeight="1">
      <c r="A80" s="37" t="s">
        <v>2</v>
      </c>
      <c r="B80" s="35" t="s">
        <v>0</v>
      </c>
      <c r="C80" s="17">
        <v>388158</v>
      </c>
      <c r="D80" s="17">
        <v>0</v>
      </c>
      <c r="E80" s="17">
        <v>0</v>
      </c>
    </row>
    <row r="81" spans="1:7" ht="20.25" customHeight="1">
      <c r="A81" s="60" t="s">
        <v>238</v>
      </c>
      <c r="B81" s="35" t="s">
        <v>1</v>
      </c>
      <c r="C81" s="17">
        <v>189000</v>
      </c>
      <c r="D81" s="17">
        <v>189000</v>
      </c>
      <c r="E81" s="17">
        <v>189000</v>
      </c>
    </row>
    <row r="82" spans="1:7" ht="20.25" customHeight="1">
      <c r="A82" s="36"/>
      <c r="B82" s="35" t="s">
        <v>0</v>
      </c>
      <c r="C82" s="17">
        <v>154166.54999999999</v>
      </c>
      <c r="D82" s="17">
        <v>0</v>
      </c>
      <c r="E82" s="17">
        <v>0</v>
      </c>
    </row>
    <row r="83" spans="1:7">
      <c r="A83" s="238" t="s">
        <v>127</v>
      </c>
      <c r="B83" s="35" t="s">
        <v>1</v>
      </c>
      <c r="C83" s="17">
        <v>180000</v>
      </c>
      <c r="D83" s="17">
        <v>180000</v>
      </c>
      <c r="E83" s="17">
        <v>154600</v>
      </c>
      <c r="F83" s="20">
        <f>SUM(C83:E83)</f>
        <v>514600</v>
      </c>
      <c r="G83" s="25">
        <f>F83-C83-D83-E83</f>
        <v>0</v>
      </c>
    </row>
    <row r="84" spans="1:7">
      <c r="A84" s="37" t="s">
        <v>67</v>
      </c>
      <c r="B84" s="35" t="s">
        <v>0</v>
      </c>
      <c r="C84" s="17">
        <v>123023</v>
      </c>
      <c r="D84" s="17">
        <v>0</v>
      </c>
      <c r="E84" s="17">
        <v>0</v>
      </c>
    </row>
    <row r="85" spans="1:7">
      <c r="A85" s="34" t="s">
        <v>68</v>
      </c>
      <c r="B85" s="35" t="s">
        <v>1</v>
      </c>
      <c r="C85" s="17">
        <v>200000</v>
      </c>
      <c r="D85" s="17">
        <v>200000</v>
      </c>
      <c r="E85" s="17">
        <v>185200</v>
      </c>
      <c r="F85" s="20">
        <f>SUM(C85:E85)</f>
        <v>585200</v>
      </c>
      <c r="G85" s="25">
        <f>F85-C85-D85-E85</f>
        <v>0</v>
      </c>
    </row>
    <row r="86" spans="1:7">
      <c r="A86" s="37" t="s">
        <v>2</v>
      </c>
      <c r="B86" s="35" t="s">
        <v>0</v>
      </c>
      <c r="C86" s="17">
        <v>140690</v>
      </c>
      <c r="D86" s="17">
        <v>0</v>
      </c>
      <c r="E86" s="17">
        <v>0</v>
      </c>
    </row>
    <row r="87" spans="1:7">
      <c r="A87" s="60" t="s">
        <v>63</v>
      </c>
      <c r="B87" s="35" t="s">
        <v>1</v>
      </c>
      <c r="C87" s="17">
        <v>10000</v>
      </c>
      <c r="D87" s="17">
        <v>0</v>
      </c>
      <c r="E87" s="17">
        <v>0</v>
      </c>
      <c r="F87" s="20">
        <v>10000</v>
      </c>
      <c r="G87" s="25">
        <f>F87-C87-D87-E87</f>
        <v>0</v>
      </c>
    </row>
    <row r="88" spans="1:7" ht="21" customHeight="1">
      <c r="A88" s="37" t="s">
        <v>2</v>
      </c>
      <c r="B88" s="35" t="s">
        <v>0</v>
      </c>
      <c r="C88" s="17"/>
      <c r="D88" s="17"/>
      <c r="E88" s="17"/>
    </row>
    <row r="89" spans="1:7">
      <c r="A89" s="60" t="s">
        <v>60</v>
      </c>
      <c r="B89" s="35" t="s">
        <v>1</v>
      </c>
      <c r="C89" s="17">
        <v>138000</v>
      </c>
      <c r="D89" s="17">
        <v>115000</v>
      </c>
      <c r="E89" s="17">
        <v>232000</v>
      </c>
      <c r="F89" s="20">
        <f>SUM(C89:E89)</f>
        <v>485000</v>
      </c>
      <c r="G89" s="25">
        <f>F89-C89-D89-E89</f>
        <v>0</v>
      </c>
    </row>
    <row r="90" spans="1:7">
      <c r="A90" s="37" t="s">
        <v>2</v>
      </c>
      <c r="B90" s="35" t="s">
        <v>0</v>
      </c>
      <c r="C90" s="17">
        <v>73500</v>
      </c>
      <c r="D90" s="17">
        <v>0</v>
      </c>
      <c r="E90" s="17">
        <v>0</v>
      </c>
    </row>
    <row r="91" spans="1:7">
      <c r="A91" s="60" t="s">
        <v>64</v>
      </c>
      <c r="B91" s="35" t="s">
        <v>1</v>
      </c>
      <c r="C91" s="17">
        <v>230200</v>
      </c>
      <c r="D91" s="17">
        <v>0</v>
      </c>
      <c r="E91" s="17">
        <v>0</v>
      </c>
      <c r="F91" s="20">
        <f>SUM(C91:E91)</f>
        <v>230200</v>
      </c>
      <c r="G91" s="25">
        <f>F91-C91-D91-E91</f>
        <v>0</v>
      </c>
    </row>
    <row r="92" spans="1:7" ht="21" customHeight="1">
      <c r="A92" s="37" t="s">
        <v>2</v>
      </c>
      <c r="B92" s="35" t="s">
        <v>0</v>
      </c>
      <c r="C92" s="17"/>
      <c r="D92" s="17"/>
      <c r="E92" s="17"/>
    </row>
    <row r="93" spans="1:7">
      <c r="A93" s="60" t="s">
        <v>61</v>
      </c>
      <c r="B93" s="35" t="s">
        <v>1</v>
      </c>
      <c r="C93" s="111">
        <v>50000</v>
      </c>
      <c r="D93" s="111">
        <v>100000</v>
      </c>
      <c r="E93" s="111">
        <v>30000</v>
      </c>
      <c r="F93" s="20">
        <v>180000</v>
      </c>
      <c r="G93" s="25">
        <f>F93-C93-D93-E93</f>
        <v>0</v>
      </c>
    </row>
    <row r="94" spans="1:7">
      <c r="A94" s="37" t="s">
        <v>2</v>
      </c>
      <c r="B94" s="35" t="s">
        <v>0</v>
      </c>
      <c r="C94" s="17">
        <v>31160</v>
      </c>
      <c r="D94" s="17">
        <v>0</v>
      </c>
      <c r="E94" s="17">
        <v>0</v>
      </c>
    </row>
    <row r="95" spans="1:7">
      <c r="A95" s="60" t="s">
        <v>62</v>
      </c>
      <c r="B95" s="35" t="s">
        <v>1</v>
      </c>
      <c r="C95" s="17">
        <v>20000</v>
      </c>
      <c r="D95" s="17">
        <v>0</v>
      </c>
      <c r="E95" s="17">
        <v>0</v>
      </c>
      <c r="F95" s="20">
        <f>SUM(C95:E95)</f>
        <v>20000</v>
      </c>
      <c r="G95" s="25">
        <f>F95-C95-D95-E95</f>
        <v>0</v>
      </c>
    </row>
    <row r="96" spans="1:7">
      <c r="A96" s="37" t="s">
        <v>2</v>
      </c>
      <c r="B96" s="35" t="s">
        <v>0</v>
      </c>
      <c r="C96" s="17"/>
      <c r="D96" s="17"/>
      <c r="E96" s="17"/>
    </row>
    <row r="97" spans="1:7">
      <c r="A97" s="140" t="s">
        <v>263</v>
      </c>
      <c r="B97" s="3" t="s">
        <v>1</v>
      </c>
      <c r="C97" s="58">
        <f t="shared" ref="C97:E98" si="12">SUM(C99)</f>
        <v>193500</v>
      </c>
      <c r="D97" s="58">
        <f t="shared" si="12"/>
        <v>0</v>
      </c>
      <c r="E97" s="58">
        <f t="shared" si="12"/>
        <v>0</v>
      </c>
      <c r="F97" s="122">
        <f>SUM(C97:E97)</f>
        <v>193500</v>
      </c>
      <c r="G97" s="25">
        <f>F97-C97-D97-E97</f>
        <v>0</v>
      </c>
    </row>
    <row r="98" spans="1:7">
      <c r="A98" s="142"/>
      <c r="B98" s="3" t="s">
        <v>0</v>
      </c>
      <c r="C98" s="58">
        <f t="shared" si="12"/>
        <v>0</v>
      </c>
      <c r="D98" s="58">
        <f t="shared" si="12"/>
        <v>0</v>
      </c>
      <c r="E98" s="58">
        <f t="shared" si="12"/>
        <v>0</v>
      </c>
      <c r="G98" s="25">
        <f>F98-C98-D98-E98</f>
        <v>0</v>
      </c>
    </row>
    <row r="99" spans="1:7">
      <c r="A99" s="60" t="s">
        <v>239</v>
      </c>
      <c r="B99" s="35" t="s">
        <v>1</v>
      </c>
      <c r="C99" s="17">
        <v>193500</v>
      </c>
      <c r="D99" s="17">
        <v>0</v>
      </c>
      <c r="E99" s="17">
        <v>0</v>
      </c>
      <c r="F99" s="20">
        <v>20000</v>
      </c>
      <c r="G99" s="25">
        <f>F99-C99-D99-E99</f>
        <v>-173500</v>
      </c>
    </row>
    <row r="100" spans="1:7">
      <c r="A100" s="37" t="s">
        <v>240</v>
      </c>
      <c r="B100" s="35" t="s">
        <v>0</v>
      </c>
      <c r="C100" s="17"/>
      <c r="D100" s="17"/>
      <c r="E100" s="17"/>
    </row>
    <row r="101" spans="1:7">
      <c r="A101" s="245" t="s">
        <v>108</v>
      </c>
      <c r="B101" s="3" t="s">
        <v>1</v>
      </c>
      <c r="C101" s="58">
        <f>SUM(C9+C49+C97)</f>
        <v>26834941.550000001</v>
      </c>
      <c r="D101" s="58">
        <f>SUM(D9+D49+D97)</f>
        <v>18335500</v>
      </c>
      <c r="E101" s="58">
        <f>SUM(E9+E49+E97)</f>
        <v>15041500</v>
      </c>
      <c r="F101" s="20">
        <f>SUM(C101:E101)</f>
        <v>60211941.549999997</v>
      </c>
    </row>
    <row r="102" spans="1:7">
      <c r="A102" s="246"/>
      <c r="B102" s="3" t="s">
        <v>0</v>
      </c>
      <c r="C102" s="58">
        <f>SUM(C10+C50)</f>
        <v>10494863.550000001</v>
      </c>
      <c r="D102" s="58">
        <f>SUM(D10+D50)</f>
        <v>0</v>
      </c>
      <c r="E102" s="58">
        <f>SUM(E10+E50)</f>
        <v>0</v>
      </c>
    </row>
    <row r="103" spans="1:7">
      <c r="A103" s="167"/>
      <c r="B103" s="167"/>
      <c r="C103" s="168"/>
      <c r="D103" s="168"/>
      <c r="E103" s="168"/>
    </row>
    <row r="104" spans="1:7">
      <c r="A104" s="167"/>
      <c r="B104" s="167"/>
      <c r="C104" s="168"/>
      <c r="D104" s="168" t="s">
        <v>58</v>
      </c>
      <c r="E104" s="168"/>
    </row>
    <row r="105" spans="1:7" ht="28.5" customHeight="1">
      <c r="A105" s="2" t="s">
        <v>58</v>
      </c>
      <c r="B105" s="1"/>
      <c r="D105" t="s">
        <v>58</v>
      </c>
    </row>
    <row r="107" spans="1:7">
      <c r="C107" t="s">
        <v>58</v>
      </c>
      <c r="D107" s="135" t="s">
        <v>153</v>
      </c>
      <c r="E107" s="20">
        <f>F9+F49</f>
        <v>60018441.549999997</v>
      </c>
    </row>
    <row r="108" spans="1:7">
      <c r="C108" t="s">
        <v>58</v>
      </c>
    </row>
  </sheetData>
  <mergeCells count="6">
    <mergeCell ref="A1:C1"/>
    <mergeCell ref="A101:A102"/>
    <mergeCell ref="E6:E7"/>
    <mergeCell ref="A6:A7"/>
    <mergeCell ref="C6:C7"/>
    <mergeCell ref="D6:D7"/>
  </mergeCells>
  <printOptions horizontalCentered="1"/>
  <pageMargins left="0.15748031496062992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I85"/>
  <sheetViews>
    <sheetView view="pageBreakPreview" topLeftCell="A64" zoomScale="80" zoomScaleNormal="70" zoomScaleSheetLayoutView="80" workbookViewId="0">
      <selection activeCell="C76" sqref="C76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139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148</v>
      </c>
      <c r="B8" s="8" t="s">
        <v>1</v>
      </c>
      <c r="C8" s="57">
        <f t="shared" ref="C8:E9" si="0">SUM(C10+C15)</f>
        <v>1170494</v>
      </c>
      <c r="D8" s="57">
        <f t="shared" si="0"/>
        <v>136000</v>
      </c>
      <c r="E8" s="57">
        <f t="shared" si="0"/>
        <v>96900</v>
      </c>
      <c r="F8" s="57">
        <f>SUM(C8:E8)</f>
        <v>1403394</v>
      </c>
    </row>
    <row r="9" spans="1:7">
      <c r="A9" s="28"/>
      <c r="B9" s="8" t="s">
        <v>0</v>
      </c>
      <c r="C9" s="57">
        <f t="shared" si="0"/>
        <v>279954</v>
      </c>
      <c r="D9" s="57">
        <f t="shared" si="0"/>
        <v>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7200</v>
      </c>
      <c r="D10" s="14">
        <f>SUM(D13:D13)</f>
        <v>0</v>
      </c>
      <c r="E10" s="14">
        <f>SUM(E13:E13)</f>
        <v>0</v>
      </c>
      <c r="F10" s="14">
        <f>SUM(C10:E10)</f>
        <v>7200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SUM(C14)</f>
        <v>3360</v>
      </c>
      <c r="D11" s="14">
        <f>SUM(D14)</f>
        <v>0</v>
      </c>
      <c r="E11" s="14">
        <f>SUM(E14)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16</v>
      </c>
      <c r="B13" s="6" t="s">
        <v>1</v>
      </c>
      <c r="C13" s="15">
        <v>7200</v>
      </c>
      <c r="D13" s="15">
        <v>0</v>
      </c>
      <c r="E13" s="15">
        <v>0</v>
      </c>
      <c r="F13" s="22">
        <f>SUM(C13:E13)</f>
        <v>7200</v>
      </c>
      <c r="G13" s="25">
        <f t="shared" ref="G13" si="1">F13-C13-D13-E13</f>
        <v>0</v>
      </c>
    </row>
    <row r="14" spans="1:7" s="5" customFormat="1">
      <c r="A14" s="44"/>
      <c r="B14" s="6" t="s">
        <v>0</v>
      </c>
      <c r="C14" s="15">
        <v>3360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SUM(C19:C41)</f>
        <v>1163294</v>
      </c>
      <c r="D15" s="14">
        <f>SUM(D19:D39)</f>
        <v>136000</v>
      </c>
      <c r="E15" s="14">
        <f>SUM(E19:E39)</f>
        <v>96900</v>
      </c>
      <c r="F15" s="14">
        <f>SUM(C15:E15)</f>
        <v>1396194</v>
      </c>
      <c r="G15" s="24">
        <f>F15-C15-D15-E15</f>
        <v>0</v>
      </c>
    </row>
    <row r="16" spans="1:7" s="4" customFormat="1">
      <c r="A16" s="30"/>
      <c r="B16" s="7" t="s">
        <v>0</v>
      </c>
      <c r="C16" s="14">
        <f>SUM(C20+C23+C25+C27+C29+C31+C33+C36+C38+C40+C42)</f>
        <v>276594</v>
      </c>
      <c r="D16" s="14">
        <f>SUM(D20+D23+D25+D27+D29+D31+D33+D36+D38+D40+D42)</f>
        <v>0</v>
      </c>
      <c r="E16" s="14">
        <f>SUM(E20+E23+E25+E27+E29+E31+E33+E36+E38+E40+E42)</f>
        <v>0</v>
      </c>
      <c r="F16" s="21"/>
      <c r="G16" s="18"/>
    </row>
    <row r="17" spans="1:7" s="5" customFormat="1">
      <c r="A17" s="48" t="s">
        <v>130</v>
      </c>
      <c r="B17" s="6"/>
      <c r="C17" s="15"/>
      <c r="D17" s="15"/>
      <c r="E17" s="15"/>
      <c r="F17" s="22"/>
      <c r="G17" s="19"/>
    </row>
    <row r="18" spans="1:7" s="5" customFormat="1">
      <c r="A18" s="143" t="s">
        <v>27</v>
      </c>
      <c r="B18" s="6"/>
      <c r="C18" s="15"/>
      <c r="D18" s="15"/>
      <c r="E18" s="15"/>
      <c r="F18" s="22"/>
      <c r="G18" s="19"/>
    </row>
    <row r="19" spans="1:7" s="5" customFormat="1">
      <c r="A19" s="38" t="s">
        <v>21</v>
      </c>
      <c r="B19" s="6" t="s">
        <v>1</v>
      </c>
      <c r="C19" s="15">
        <v>11700</v>
      </c>
      <c r="D19" s="15">
        <v>0</v>
      </c>
      <c r="E19" s="15">
        <v>0</v>
      </c>
      <c r="F19" s="22">
        <f>SUM(C19:E19)</f>
        <v>11700</v>
      </c>
      <c r="G19" s="25">
        <f t="shared" ref="G19:G24" si="2">F19-C19-D19-E19</f>
        <v>0</v>
      </c>
    </row>
    <row r="20" spans="1:7" s="5" customFormat="1">
      <c r="A20" s="156" t="s">
        <v>58</v>
      </c>
      <c r="B20" s="6" t="s">
        <v>0</v>
      </c>
      <c r="C20" s="15">
        <v>11700</v>
      </c>
      <c r="D20" s="15"/>
      <c r="E20" s="15"/>
      <c r="F20" s="22"/>
      <c r="G20" s="25"/>
    </row>
    <row r="21" spans="1:7" s="5" customFormat="1">
      <c r="A21" s="43" t="s">
        <v>28</v>
      </c>
      <c r="B21" s="6"/>
      <c r="C21" s="15"/>
      <c r="D21" s="15"/>
      <c r="E21" s="15"/>
      <c r="F21" s="22"/>
      <c r="G21" s="25"/>
    </row>
    <row r="22" spans="1:7" s="5" customFormat="1">
      <c r="A22" s="38" t="s">
        <v>17</v>
      </c>
      <c r="B22" s="6" t="s">
        <v>1</v>
      </c>
      <c r="C22" s="15">
        <v>10000</v>
      </c>
      <c r="D22" s="15">
        <v>20000</v>
      </c>
      <c r="E22" s="15">
        <v>19300</v>
      </c>
      <c r="F22" s="22">
        <f>SUM(C22:E22)</f>
        <v>49300</v>
      </c>
      <c r="G22" s="25">
        <f t="shared" si="2"/>
        <v>0</v>
      </c>
    </row>
    <row r="23" spans="1:7" s="5" customFormat="1">
      <c r="A23" s="38"/>
      <c r="B23" s="6" t="s">
        <v>0</v>
      </c>
      <c r="C23" s="15"/>
      <c r="D23" s="15"/>
      <c r="E23" s="15"/>
      <c r="F23" s="22"/>
      <c r="G23" s="25"/>
    </row>
    <row r="24" spans="1:7" s="5" customFormat="1">
      <c r="A24" s="38" t="s">
        <v>14</v>
      </c>
      <c r="B24" s="6" t="s">
        <v>1</v>
      </c>
      <c r="C24" s="15">
        <v>6000</v>
      </c>
      <c r="D24" s="15">
        <v>6000</v>
      </c>
      <c r="E24" s="15">
        <v>0</v>
      </c>
      <c r="F24" s="22">
        <f>SUM(C24:E24)</f>
        <v>12000</v>
      </c>
      <c r="G24" s="25">
        <f t="shared" si="2"/>
        <v>0</v>
      </c>
    </row>
    <row r="25" spans="1:7" s="5" customFormat="1">
      <c r="A25" s="38"/>
      <c r="B25" s="6" t="s">
        <v>0</v>
      </c>
      <c r="C25" s="15"/>
      <c r="D25" s="15"/>
      <c r="E25" s="15"/>
      <c r="F25" s="22"/>
      <c r="G25" s="25"/>
    </row>
    <row r="26" spans="1:7" s="5" customFormat="1">
      <c r="A26" s="38" t="s">
        <v>241</v>
      </c>
      <c r="B26" s="6" t="s">
        <v>1</v>
      </c>
      <c r="C26" s="15">
        <v>216600</v>
      </c>
      <c r="D26" s="15">
        <v>0</v>
      </c>
      <c r="E26" s="15">
        <v>0</v>
      </c>
      <c r="F26" s="22">
        <f>SUM(C26)</f>
        <v>216600</v>
      </c>
      <c r="G26" s="25">
        <f t="shared" ref="G26" si="3">F26-C26-D26-E26</f>
        <v>0</v>
      </c>
    </row>
    <row r="27" spans="1:7" s="5" customFormat="1">
      <c r="A27" s="38"/>
      <c r="B27" s="6" t="s">
        <v>0</v>
      </c>
      <c r="C27" s="15">
        <v>54000</v>
      </c>
      <c r="D27" s="15"/>
      <c r="E27" s="15"/>
      <c r="F27" s="22"/>
      <c r="G27" s="25"/>
    </row>
    <row r="28" spans="1:7" s="5" customFormat="1">
      <c r="A28" s="38" t="s">
        <v>242</v>
      </c>
      <c r="B28" s="6" t="s">
        <v>1</v>
      </c>
      <c r="C28" s="15">
        <v>216000</v>
      </c>
      <c r="D28" s="15">
        <v>0</v>
      </c>
      <c r="E28" s="15">
        <v>0</v>
      </c>
      <c r="F28" s="22">
        <f>SUM(C28:E28)</f>
        <v>216000</v>
      </c>
      <c r="G28" s="25">
        <f t="shared" ref="G28" si="4">F28-C28-D28-E28</f>
        <v>0</v>
      </c>
    </row>
    <row r="29" spans="1:7" s="5" customFormat="1">
      <c r="A29" s="38"/>
      <c r="B29" s="6" t="s">
        <v>0</v>
      </c>
      <c r="C29" s="15">
        <v>54000</v>
      </c>
      <c r="D29" s="15"/>
      <c r="E29" s="15"/>
      <c r="F29" s="22"/>
      <c r="G29" s="25"/>
    </row>
    <row r="30" spans="1:7" s="5" customFormat="1">
      <c r="A30" s="38" t="s">
        <v>243</v>
      </c>
      <c r="B30" s="6" t="s">
        <v>1</v>
      </c>
      <c r="C30" s="15">
        <v>198000</v>
      </c>
      <c r="D30" s="15">
        <v>0</v>
      </c>
      <c r="E30" s="15">
        <v>0</v>
      </c>
      <c r="F30" s="22">
        <f t="shared" ref="F30:F39" si="5">SUM(C30:E30)</f>
        <v>198000</v>
      </c>
      <c r="G30" s="25">
        <f t="shared" ref="G30" si="6">F30-C30-D30-E30</f>
        <v>0</v>
      </c>
    </row>
    <row r="31" spans="1:7" s="5" customFormat="1">
      <c r="A31" s="38"/>
      <c r="B31" s="6" t="s">
        <v>0</v>
      </c>
      <c r="C31" s="15">
        <v>49500</v>
      </c>
      <c r="D31" s="15"/>
      <c r="E31" s="15"/>
      <c r="F31" s="22"/>
      <c r="G31" s="25"/>
    </row>
    <row r="32" spans="1:7" s="5" customFormat="1">
      <c r="A32" s="234" t="s">
        <v>264</v>
      </c>
      <c r="B32" s="6" t="s">
        <v>1</v>
      </c>
      <c r="C32" s="15">
        <v>158400</v>
      </c>
      <c r="D32" s="15">
        <v>0</v>
      </c>
      <c r="E32" s="15">
        <v>0</v>
      </c>
      <c r="F32" s="22">
        <f t="shared" si="5"/>
        <v>158400</v>
      </c>
      <c r="G32" s="25">
        <f t="shared" ref="G32" si="7">F32-C32-D32-E32</f>
        <v>0</v>
      </c>
    </row>
    <row r="33" spans="1:7" s="5" customFormat="1">
      <c r="A33" s="38"/>
      <c r="B33" s="6" t="s">
        <v>0</v>
      </c>
      <c r="C33" s="15">
        <v>39600</v>
      </c>
      <c r="D33" s="15"/>
      <c r="E33" s="15"/>
      <c r="F33" s="22"/>
      <c r="G33" s="25"/>
    </row>
    <row r="34" spans="1:7" s="5" customFormat="1">
      <c r="A34" s="43" t="s">
        <v>132</v>
      </c>
      <c r="B34" s="6"/>
      <c r="C34" s="15" t="s">
        <v>58</v>
      </c>
      <c r="D34" s="15"/>
      <c r="E34" s="15"/>
      <c r="F34" s="22"/>
      <c r="G34" s="25"/>
    </row>
    <row r="35" spans="1:7" s="5" customFormat="1">
      <c r="A35" s="212" t="s">
        <v>199</v>
      </c>
      <c r="B35" s="6" t="s">
        <v>1</v>
      </c>
      <c r="C35" s="15">
        <v>30000</v>
      </c>
      <c r="D35" s="15">
        <v>50000</v>
      </c>
      <c r="E35" s="15">
        <v>32000</v>
      </c>
      <c r="F35" s="22">
        <f t="shared" si="5"/>
        <v>112000</v>
      </c>
      <c r="G35" s="25">
        <f t="shared" ref="G35" si="8">F35-C35-D35-E35</f>
        <v>0</v>
      </c>
    </row>
    <row r="36" spans="1:7" s="5" customFormat="1">
      <c r="A36" s="212"/>
      <c r="B36" s="6" t="s">
        <v>0</v>
      </c>
      <c r="C36" s="15">
        <v>19344</v>
      </c>
      <c r="D36" s="15"/>
      <c r="E36" s="15"/>
      <c r="F36" s="22"/>
      <c r="G36" s="25"/>
    </row>
    <row r="37" spans="1:7" s="5" customFormat="1">
      <c r="A37" s="38" t="s">
        <v>9</v>
      </c>
      <c r="B37" s="6" t="s">
        <v>1</v>
      </c>
      <c r="C37" s="15">
        <v>30000</v>
      </c>
      <c r="D37" s="15">
        <v>50000</v>
      </c>
      <c r="E37" s="15">
        <v>32800</v>
      </c>
      <c r="F37" s="22">
        <f t="shared" si="5"/>
        <v>112800</v>
      </c>
      <c r="G37" s="25">
        <f t="shared" ref="G37:G41" si="9">F37-C37-D37-E37</f>
        <v>0</v>
      </c>
    </row>
    <row r="38" spans="1:7" s="5" customFormat="1">
      <c r="A38" s="38"/>
      <c r="B38" s="6" t="s">
        <v>0</v>
      </c>
      <c r="C38" s="15">
        <v>40650</v>
      </c>
      <c r="D38" s="15"/>
      <c r="E38" s="15"/>
      <c r="F38" s="22"/>
      <c r="G38" s="25"/>
    </row>
    <row r="39" spans="1:7" s="5" customFormat="1">
      <c r="A39" s="38" t="s">
        <v>8</v>
      </c>
      <c r="B39" s="6" t="s">
        <v>1</v>
      </c>
      <c r="C39" s="15">
        <v>10000</v>
      </c>
      <c r="D39" s="15">
        <v>10000</v>
      </c>
      <c r="E39" s="15">
        <v>12800</v>
      </c>
      <c r="F39" s="22">
        <f t="shared" si="5"/>
        <v>32800</v>
      </c>
      <c r="G39" s="25">
        <f t="shared" si="9"/>
        <v>0</v>
      </c>
    </row>
    <row r="40" spans="1:7" s="5" customFormat="1">
      <c r="A40" s="38"/>
      <c r="B40" s="6" t="s">
        <v>0</v>
      </c>
      <c r="C40" s="15"/>
      <c r="D40" s="15"/>
      <c r="E40" s="15"/>
      <c r="F40" s="22"/>
      <c r="G40" s="25"/>
    </row>
    <row r="41" spans="1:7" s="5" customFormat="1">
      <c r="A41" s="49" t="s">
        <v>7</v>
      </c>
      <c r="B41" s="6" t="s">
        <v>1</v>
      </c>
      <c r="C41" s="15">
        <v>7800</v>
      </c>
      <c r="D41" s="15"/>
      <c r="E41" s="15"/>
      <c r="F41" s="22">
        <f>SUM(C41:E41)</f>
        <v>7800</v>
      </c>
      <c r="G41" s="25">
        <f t="shared" si="9"/>
        <v>0</v>
      </c>
    </row>
    <row r="42" spans="1:7" s="5" customFormat="1">
      <c r="A42" s="49"/>
      <c r="B42" s="206" t="s">
        <v>0</v>
      </c>
      <c r="C42" s="15">
        <v>7800</v>
      </c>
      <c r="D42" s="15"/>
      <c r="E42" s="15"/>
      <c r="F42" s="22"/>
      <c r="G42" s="25"/>
    </row>
    <row r="43" spans="1:7">
      <c r="A43" s="107" t="s">
        <v>140</v>
      </c>
      <c r="B43" s="141"/>
      <c r="C43" s="3"/>
      <c r="D43" s="3"/>
      <c r="E43" s="3"/>
      <c r="F43" s="26"/>
      <c r="G43" s="23"/>
    </row>
    <row r="44" spans="1:7">
      <c r="A44" s="27" t="s">
        <v>149</v>
      </c>
      <c r="B44" s="8" t="s">
        <v>1</v>
      </c>
      <c r="C44" s="57">
        <f>SUM(C46)</f>
        <v>51200</v>
      </c>
      <c r="D44" s="57">
        <f>SUM(D46)</f>
        <v>85120</v>
      </c>
      <c r="E44" s="57">
        <f>SUM(E46+E50)</f>
        <v>28780</v>
      </c>
      <c r="F44" s="57">
        <f>SUM(C44:E44)</f>
        <v>165100</v>
      </c>
    </row>
    <row r="45" spans="1:7">
      <c r="A45" s="28"/>
      <c r="B45" s="8" t="s">
        <v>0</v>
      </c>
      <c r="C45" s="57">
        <f>SUM(C47+C51)</f>
        <v>0</v>
      </c>
      <c r="D45" s="57">
        <f>SUM(D47+D51)</f>
        <v>0</v>
      </c>
      <c r="E45" s="57">
        <f>SUM(E47+E51)</f>
        <v>0</v>
      </c>
    </row>
    <row r="46" spans="1:7" s="4" customFormat="1">
      <c r="A46" s="29" t="s">
        <v>133</v>
      </c>
      <c r="B46" s="7" t="s">
        <v>1</v>
      </c>
      <c r="C46" s="14">
        <f>SUM(C48:C49)</f>
        <v>51200</v>
      </c>
      <c r="D46" s="14">
        <f>SUM(D48:D49)</f>
        <v>85120</v>
      </c>
      <c r="E46" s="14">
        <f>SUM(E48:E49)</f>
        <v>28780</v>
      </c>
      <c r="F46" s="14">
        <f>SUM(C46:E46)</f>
        <v>165100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SUM(C49)</f>
        <v>0</v>
      </c>
      <c r="D47" s="14"/>
      <c r="E47" s="14"/>
      <c r="F47" s="21"/>
      <c r="G47" s="18"/>
    </row>
    <row r="48" spans="1:7" s="5" customFormat="1">
      <c r="A48" s="49" t="s">
        <v>244</v>
      </c>
      <c r="B48" s="6" t="s">
        <v>1</v>
      </c>
      <c r="C48" s="15">
        <v>51200</v>
      </c>
      <c r="D48" s="15">
        <v>85120</v>
      </c>
      <c r="E48" s="15">
        <v>28780</v>
      </c>
      <c r="F48" s="22">
        <f>SUM(C48:E48)</f>
        <v>165100</v>
      </c>
      <c r="G48" s="25">
        <f>F48-C48-D48-E48</f>
        <v>0</v>
      </c>
    </row>
    <row r="49" spans="1:7" s="5" customFormat="1">
      <c r="A49" s="211" t="s">
        <v>58</v>
      </c>
      <c r="B49" s="6" t="s">
        <v>1</v>
      </c>
      <c r="C49" s="15" t="s">
        <v>58</v>
      </c>
      <c r="D49" s="15" t="s">
        <v>58</v>
      </c>
      <c r="E49" s="15">
        <v>0</v>
      </c>
      <c r="F49" s="22">
        <f>SUM(C49:E49)</f>
        <v>0</v>
      </c>
      <c r="G49" s="25" t="e">
        <f>F49-C49-D49-E49</f>
        <v>#VALUE!</v>
      </c>
    </row>
    <row r="50" spans="1:7">
      <c r="A50" s="140" t="s">
        <v>245</v>
      </c>
      <c r="B50" s="3" t="s">
        <v>1</v>
      </c>
      <c r="C50" s="58">
        <f>SUM(C52:C54)</f>
        <v>27500</v>
      </c>
      <c r="D50" s="58">
        <f>SUM(D52:D54)</f>
        <v>153400</v>
      </c>
      <c r="E50" s="58">
        <f>SUM(E52:E54)</f>
        <v>0</v>
      </c>
      <c r="F50" s="16">
        <f>SUM(C50:E50)</f>
        <v>180900</v>
      </c>
      <c r="G50" s="25">
        <f>F50-C50-D50-E50</f>
        <v>0</v>
      </c>
    </row>
    <row r="51" spans="1:7">
      <c r="A51" s="142"/>
      <c r="B51" s="3" t="s">
        <v>0</v>
      </c>
      <c r="C51" s="58">
        <f>SUM(C53+C55)</f>
        <v>0</v>
      </c>
      <c r="D51" s="58">
        <f>SUM(D53+D55)</f>
        <v>0</v>
      </c>
      <c r="E51" s="58">
        <f>SUM(E53+E55)</f>
        <v>0</v>
      </c>
      <c r="G51" s="25">
        <f>F51-C51-D51-E51</f>
        <v>0</v>
      </c>
    </row>
    <row r="52" spans="1:7">
      <c r="A52" s="60" t="s">
        <v>69</v>
      </c>
      <c r="B52" s="35" t="s">
        <v>1</v>
      </c>
      <c r="C52" s="17">
        <v>27500</v>
      </c>
      <c r="D52" s="17">
        <v>53400</v>
      </c>
      <c r="E52" s="17">
        <v>0</v>
      </c>
      <c r="F52" s="20">
        <f>SUM(C52:E52)</f>
        <v>80900</v>
      </c>
      <c r="G52" s="25">
        <f>F52-C52-D52-E52</f>
        <v>0</v>
      </c>
    </row>
    <row r="53" spans="1:7">
      <c r="A53" s="37" t="s">
        <v>2</v>
      </c>
      <c r="B53" s="35" t="s">
        <v>0</v>
      </c>
      <c r="C53" s="17"/>
      <c r="D53" s="17"/>
      <c r="E53" s="17"/>
    </row>
    <row r="54" spans="1:7">
      <c r="A54" s="60" t="s">
        <v>70</v>
      </c>
      <c r="B54" s="35" t="s">
        <v>1</v>
      </c>
      <c r="C54" s="17">
        <v>0</v>
      </c>
      <c r="D54" s="17">
        <v>100000</v>
      </c>
      <c r="E54" s="17">
        <v>0</v>
      </c>
      <c r="F54" s="20">
        <f>SUM(C54:E54)</f>
        <v>100000</v>
      </c>
      <c r="G54" s="25">
        <f>F54-C54-D54-E54</f>
        <v>0</v>
      </c>
    </row>
    <row r="55" spans="1:7">
      <c r="A55" s="37" t="s">
        <v>2</v>
      </c>
      <c r="B55" s="35" t="s">
        <v>0</v>
      </c>
      <c r="C55" s="17"/>
      <c r="D55" s="17"/>
      <c r="E55" s="17"/>
    </row>
    <row r="56" spans="1:7">
      <c r="A56" s="107" t="s">
        <v>140</v>
      </c>
      <c r="B56" s="141"/>
      <c r="C56" s="3"/>
      <c r="D56" s="3"/>
      <c r="E56" s="3"/>
      <c r="F56" s="26"/>
      <c r="G56" s="23"/>
    </row>
    <row r="57" spans="1:7">
      <c r="A57" s="27" t="s">
        <v>150</v>
      </c>
      <c r="B57" s="8" t="s">
        <v>1</v>
      </c>
      <c r="C57" s="57">
        <f t="shared" ref="C57:E58" si="10">SUM(C59+C66+C72)</f>
        <v>234140</v>
      </c>
      <c r="D57" s="57">
        <f t="shared" si="10"/>
        <v>1641300</v>
      </c>
      <c r="E57" s="57">
        <f t="shared" si="10"/>
        <v>4700</v>
      </c>
      <c r="F57" s="57">
        <f>SUM(C57:E57)</f>
        <v>1880140</v>
      </c>
    </row>
    <row r="58" spans="1:7">
      <c r="A58" s="28"/>
      <c r="B58" s="8" t="s">
        <v>0</v>
      </c>
      <c r="C58" s="57">
        <f t="shared" si="10"/>
        <v>77600</v>
      </c>
      <c r="D58" s="57">
        <f t="shared" si="10"/>
        <v>0</v>
      </c>
      <c r="E58" s="57">
        <f t="shared" si="10"/>
        <v>0</v>
      </c>
    </row>
    <row r="59" spans="1:7" s="4" customFormat="1">
      <c r="A59" s="29" t="s">
        <v>129</v>
      </c>
      <c r="B59" s="7" t="s">
        <v>1</v>
      </c>
      <c r="C59" s="14">
        <f>SUM(C62:C64)</f>
        <v>20660</v>
      </c>
      <c r="D59" s="14">
        <f t="shared" ref="D59:E59" si="11">SUM(D62:D64)</f>
        <v>0</v>
      </c>
      <c r="E59" s="14">
        <f t="shared" si="11"/>
        <v>0</v>
      </c>
      <c r="F59" s="14">
        <f>SUM(F62:F64)</f>
        <v>17300</v>
      </c>
      <c r="G59" s="24">
        <f>F59-C59-D59-E59</f>
        <v>-3360</v>
      </c>
    </row>
    <row r="60" spans="1:7" s="4" customFormat="1">
      <c r="A60" s="30"/>
      <c r="B60" s="7" t="s">
        <v>0</v>
      </c>
      <c r="C60" s="14">
        <f>SUM(C63+C65)</f>
        <v>5520</v>
      </c>
      <c r="D60" s="14"/>
      <c r="E60" s="14"/>
      <c r="F60" s="21"/>
      <c r="G60" s="18"/>
    </row>
    <row r="61" spans="1:7" s="5" customFormat="1">
      <c r="A61" s="48" t="s">
        <v>130</v>
      </c>
      <c r="B61" s="6"/>
      <c r="C61" s="15"/>
      <c r="D61" s="15"/>
      <c r="E61" s="15"/>
      <c r="F61" s="22"/>
      <c r="G61" s="19"/>
    </row>
    <row r="62" spans="1:7" s="5" customFormat="1">
      <c r="A62" s="49" t="s">
        <v>20</v>
      </c>
      <c r="B62" s="6" t="s">
        <v>1</v>
      </c>
      <c r="C62" s="15">
        <v>10100</v>
      </c>
      <c r="D62" s="15">
        <v>0</v>
      </c>
      <c r="E62" s="15">
        <v>0</v>
      </c>
      <c r="F62" s="22">
        <f>SUM(C62:E62)</f>
        <v>10100</v>
      </c>
      <c r="G62" s="25">
        <f>F62-C62-D62-E62</f>
        <v>0</v>
      </c>
    </row>
    <row r="63" spans="1:7" s="5" customFormat="1">
      <c r="A63" s="49"/>
      <c r="B63" s="6" t="s">
        <v>0</v>
      </c>
      <c r="C63" s="15">
        <v>3360</v>
      </c>
      <c r="D63" s="15"/>
      <c r="E63" s="15"/>
      <c r="F63" s="22"/>
      <c r="G63" s="25"/>
    </row>
    <row r="64" spans="1:7" s="5" customFormat="1">
      <c r="A64" s="44" t="s">
        <v>16</v>
      </c>
      <c r="B64" s="6" t="s">
        <v>1</v>
      </c>
      <c r="C64" s="15">
        <v>7200</v>
      </c>
      <c r="D64" s="15">
        <v>0</v>
      </c>
      <c r="E64" s="15">
        <v>0</v>
      </c>
      <c r="F64" s="22">
        <f>SUM(C64:E64)</f>
        <v>7200</v>
      </c>
      <c r="G64" s="25">
        <f t="shared" ref="G64" si="12">F64-C64-D64-E64</f>
        <v>0</v>
      </c>
    </row>
    <row r="65" spans="1:9" s="5" customFormat="1">
      <c r="A65" s="44"/>
      <c r="B65" s="6" t="s">
        <v>0</v>
      </c>
      <c r="C65" s="15">
        <v>2160</v>
      </c>
      <c r="D65" s="15"/>
      <c r="E65" s="15"/>
      <c r="F65" s="22"/>
      <c r="G65" s="25"/>
    </row>
    <row r="66" spans="1:9" s="4" customFormat="1">
      <c r="A66" s="29" t="s">
        <v>131</v>
      </c>
      <c r="B66" s="7" t="s">
        <v>1</v>
      </c>
      <c r="C66" s="14">
        <f>SUM(C70:C70)</f>
        <v>3000</v>
      </c>
      <c r="D66" s="14">
        <f>SUM(D70:D70)</f>
        <v>4000</v>
      </c>
      <c r="E66" s="14">
        <f>SUM(E70:E70)</f>
        <v>4700</v>
      </c>
      <c r="F66" s="14">
        <f>SUM(F70:F70)</f>
        <v>11700</v>
      </c>
      <c r="G66" s="24">
        <f>F66-C66-D66-E66</f>
        <v>0</v>
      </c>
    </row>
    <row r="67" spans="1:9" s="4" customFormat="1">
      <c r="A67" s="30"/>
      <c r="B67" s="7" t="s">
        <v>0</v>
      </c>
      <c r="C67" s="14">
        <f>SUM(C71)</f>
        <v>0</v>
      </c>
      <c r="D67" s="14"/>
      <c r="E67" s="14"/>
      <c r="F67" s="21"/>
      <c r="G67" s="18"/>
    </row>
    <row r="68" spans="1:9" s="5" customFormat="1">
      <c r="A68" s="48" t="s">
        <v>130</v>
      </c>
      <c r="B68" s="6"/>
      <c r="C68" s="15"/>
      <c r="D68" s="15"/>
      <c r="E68" s="15"/>
      <c r="F68" s="22"/>
      <c r="G68" s="19"/>
    </row>
    <row r="69" spans="1:9" s="5" customFormat="1">
      <c r="A69" s="143" t="s">
        <v>27</v>
      </c>
      <c r="B69" s="6"/>
      <c r="C69" s="15"/>
      <c r="D69" s="15"/>
      <c r="E69" s="15"/>
      <c r="F69" s="22"/>
      <c r="G69" s="19"/>
    </row>
    <row r="70" spans="1:9" s="5" customFormat="1">
      <c r="A70" s="38" t="s">
        <v>42</v>
      </c>
      <c r="B70" s="6" t="s">
        <v>1</v>
      </c>
      <c r="C70" s="15">
        <v>3000</v>
      </c>
      <c r="D70" s="15">
        <v>4000</v>
      </c>
      <c r="E70" s="15">
        <v>4700</v>
      </c>
      <c r="F70" s="22">
        <f>SUM(C70:E70)</f>
        <v>11700</v>
      </c>
      <c r="G70" s="25">
        <f t="shared" ref="G70" si="13">F70-C70-D70-E70</f>
        <v>0</v>
      </c>
    </row>
    <row r="71" spans="1:9" s="5" customFormat="1">
      <c r="A71" s="38"/>
      <c r="B71" s="6" t="s">
        <v>0</v>
      </c>
      <c r="C71" s="15"/>
      <c r="D71" s="15"/>
      <c r="E71" s="15"/>
      <c r="F71" s="22"/>
      <c r="G71" s="25"/>
    </row>
    <row r="72" spans="1:9" s="4" customFormat="1">
      <c r="A72" s="29" t="s">
        <v>133</v>
      </c>
      <c r="B72" s="7" t="s">
        <v>1</v>
      </c>
      <c r="C72" s="14">
        <f>SUM(C74:C75)</f>
        <v>210480</v>
      </c>
      <c r="D72" s="14">
        <f>SUM(D74:D76)</f>
        <v>1637300</v>
      </c>
      <c r="E72" s="14">
        <f>SUM(E74:E75)</f>
        <v>0</v>
      </c>
      <c r="F72" s="14">
        <f>SUM(C72:E72)</f>
        <v>1847780</v>
      </c>
      <c r="G72" s="24">
        <f>F72-C72-D72-E72</f>
        <v>0</v>
      </c>
    </row>
    <row r="73" spans="1:9" s="4" customFormat="1">
      <c r="A73" s="30"/>
      <c r="B73" s="7" t="s">
        <v>0</v>
      </c>
      <c r="C73" s="14">
        <f>SUM(C75+C77)</f>
        <v>72080</v>
      </c>
      <c r="D73" s="14">
        <f>SUM(D75+D77)</f>
        <v>0</v>
      </c>
      <c r="E73" s="14">
        <f>SUM(E75+E77)</f>
        <v>0</v>
      </c>
      <c r="F73" s="21"/>
      <c r="G73" s="18"/>
    </row>
    <row r="74" spans="1:9">
      <c r="A74" s="38" t="s">
        <v>71</v>
      </c>
      <c r="B74" s="35" t="s">
        <v>1</v>
      </c>
      <c r="C74" s="17">
        <v>138400</v>
      </c>
      <c r="D74" s="17">
        <v>94400</v>
      </c>
      <c r="E74" s="17">
        <v>0</v>
      </c>
      <c r="F74" s="20">
        <f>SUM(C74:E74)</f>
        <v>232800</v>
      </c>
      <c r="G74" s="25">
        <f>F74-C74-D74-E74</f>
        <v>0</v>
      </c>
    </row>
    <row r="75" spans="1:9">
      <c r="A75" s="39" t="s">
        <v>72</v>
      </c>
      <c r="B75" s="35" t="s">
        <v>0</v>
      </c>
      <c r="C75" s="17">
        <v>72080</v>
      </c>
      <c r="D75" s="17"/>
      <c r="E75" s="17"/>
    </row>
    <row r="76" spans="1:9">
      <c r="A76" s="38" t="s">
        <v>246</v>
      </c>
      <c r="B76" s="35" t="s">
        <v>1</v>
      </c>
      <c r="C76" s="17">
        <v>0</v>
      </c>
      <c r="D76" s="17">
        <v>1542900</v>
      </c>
      <c r="E76" s="17">
        <v>0</v>
      </c>
      <c r="I76" t="s">
        <v>58</v>
      </c>
    </row>
    <row r="77" spans="1:9">
      <c r="A77" s="39" t="s">
        <v>58</v>
      </c>
      <c r="B77" s="35" t="s">
        <v>0</v>
      </c>
      <c r="C77" s="17"/>
      <c r="D77" s="17"/>
      <c r="E77" s="17"/>
    </row>
    <row r="78" spans="1:9">
      <c r="A78" s="245" t="s">
        <v>108</v>
      </c>
      <c r="B78" s="3" t="s">
        <v>1</v>
      </c>
      <c r="C78" s="58">
        <f>SUM(C8+C44+C50+C57)</f>
        <v>1483334</v>
      </c>
      <c r="D78" s="58">
        <f>SUM(D8+D44+D50+D57)</f>
        <v>2015820</v>
      </c>
      <c r="E78" s="58">
        <f>SUM(E8+E44+E50+E57)</f>
        <v>130380</v>
      </c>
      <c r="F78" s="20">
        <f>SUM(C78:E78)</f>
        <v>3629534</v>
      </c>
    </row>
    <row r="79" spans="1:9">
      <c r="A79" s="246"/>
      <c r="B79" s="3" t="s">
        <v>0</v>
      </c>
      <c r="C79" s="58">
        <f>SUM(C9+C45+C58)</f>
        <v>357554</v>
      </c>
      <c r="D79" s="58">
        <f>SUM(D9+D45+D58)</f>
        <v>0</v>
      </c>
      <c r="E79" s="58">
        <f>SUM(E9+E45+E58)</f>
        <v>0</v>
      </c>
    </row>
    <row r="80" spans="1:9" s="152" customFormat="1">
      <c r="A80" s="167"/>
      <c r="B80" s="167"/>
      <c r="C80" s="168"/>
      <c r="D80" s="168"/>
      <c r="E80" s="168"/>
      <c r="F80" s="150"/>
      <c r="G80" s="114"/>
    </row>
    <row r="81" spans="1:7" s="152" customFormat="1">
      <c r="A81" s="167"/>
      <c r="B81" s="167"/>
      <c r="C81" s="168" t="s">
        <v>58</v>
      </c>
      <c r="D81" s="168" t="s">
        <v>58</v>
      </c>
      <c r="E81" s="168"/>
      <c r="F81" s="150"/>
      <c r="G81" s="114"/>
    </row>
    <row r="82" spans="1:7" ht="28.5" customHeight="1">
      <c r="A82" s="2" t="s">
        <v>58</v>
      </c>
      <c r="B82" s="1"/>
    </row>
    <row r="84" spans="1:7">
      <c r="C84" s="110"/>
      <c r="E84" s="135" t="s">
        <v>151</v>
      </c>
      <c r="F84" s="20">
        <f>F8+F44+F57</f>
        <v>3448634</v>
      </c>
    </row>
    <row r="85" spans="1:7">
      <c r="C85" s="110" t="s">
        <v>58</v>
      </c>
      <c r="D85" t="s">
        <v>58</v>
      </c>
    </row>
  </sheetData>
  <mergeCells count="6">
    <mergeCell ref="E5:E6"/>
    <mergeCell ref="A78:A79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128"/>
  <sheetViews>
    <sheetView tabSelected="1" view="pageBreakPreview" zoomScale="80" zoomScaleSheetLayoutView="80" workbookViewId="0">
      <pane xSplit="2" ySplit="6" topLeftCell="C73" activePane="bottomRight" state="frozen"/>
      <selection pane="topRight" activeCell="C1" sqref="C1"/>
      <selection pane="bottomLeft" activeCell="A7" sqref="A7"/>
      <selection pane="bottomRight" activeCell="C78" sqref="C78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154</v>
      </c>
      <c r="B3" s="12"/>
    </row>
    <row r="4" spans="1:7" ht="18" customHeight="1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66" t="s">
        <v>155</v>
      </c>
      <c r="B8" s="8" t="s">
        <v>1</v>
      </c>
      <c r="C8" s="57">
        <f t="shared" ref="C8:E9" si="0">SUM(C10+C15+C35)</f>
        <v>797984</v>
      </c>
      <c r="D8" s="57">
        <f t="shared" si="0"/>
        <v>434100</v>
      </c>
      <c r="E8" s="57">
        <f t="shared" si="0"/>
        <v>101000</v>
      </c>
      <c r="F8" s="57">
        <f>SUM(C8:E8)</f>
        <v>1333084</v>
      </c>
    </row>
    <row r="9" spans="1:7">
      <c r="A9" s="67"/>
      <c r="B9" s="8" t="s">
        <v>0</v>
      </c>
      <c r="C9" s="57">
        <f t="shared" si="0"/>
        <v>245912</v>
      </c>
      <c r="D9" s="57">
        <f t="shared" si="0"/>
        <v>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280800</v>
      </c>
      <c r="D10" s="14">
        <f>SUM(D13:D13)</f>
        <v>0</v>
      </c>
      <c r="E10" s="14">
        <f>SUM(E13:E13)</f>
        <v>0</v>
      </c>
      <c r="F10" s="14">
        <f>SUM(C10:E10)</f>
        <v>280800</v>
      </c>
      <c r="G10" s="24">
        <f>F10-C10-D10-E10</f>
        <v>0</v>
      </c>
    </row>
    <row r="11" spans="1:7" s="4" customFormat="1">
      <c r="A11" s="30" t="s">
        <v>58</v>
      </c>
      <c r="B11" s="7" t="s">
        <v>0</v>
      </c>
      <c r="C11" s="14">
        <f>SUM(C14)</f>
        <v>64320</v>
      </c>
      <c r="D11" s="14">
        <f>SUM(D14)</f>
        <v>0</v>
      </c>
      <c r="E11" s="14">
        <f>SUM(E14)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16</v>
      </c>
      <c r="B13" s="6" t="s">
        <v>1</v>
      </c>
      <c r="C13" s="15">
        <v>280800</v>
      </c>
      <c r="D13" s="15">
        <v>0</v>
      </c>
      <c r="E13" s="15">
        <v>0</v>
      </c>
      <c r="F13" s="22">
        <f>SUM(C13:E13)</f>
        <v>280800</v>
      </c>
      <c r="G13" s="25">
        <f t="shared" ref="G13" si="1">F13-C13-D13-E13</f>
        <v>0</v>
      </c>
    </row>
    <row r="14" spans="1:7" s="5" customFormat="1">
      <c r="A14" s="44"/>
      <c r="B14" s="6" t="s">
        <v>0</v>
      </c>
      <c r="C14" s="15">
        <v>64320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SUM(C16:C39)</f>
        <v>517184</v>
      </c>
      <c r="D15" s="14">
        <f>SUM(D19+D22+D24+D27+D29+D31)</f>
        <v>394400</v>
      </c>
      <c r="E15" s="14">
        <f>SUM(E19:E40)</f>
        <v>101000</v>
      </c>
      <c r="F15" s="22">
        <f>SUM(F19+F26)</f>
        <v>592800</v>
      </c>
      <c r="G15" s="24">
        <f>F15-C15-D15-E15</f>
        <v>-419784</v>
      </c>
    </row>
    <row r="16" spans="1:7" s="4" customFormat="1">
      <c r="A16" s="30" t="s">
        <v>58</v>
      </c>
      <c r="B16" s="7" t="s">
        <v>0</v>
      </c>
      <c r="C16" s="14">
        <f>SUM(C20+C23+C25+C28+C30+C32+C34)</f>
        <v>181592</v>
      </c>
      <c r="D16" s="14">
        <f>SUM(D20+D23+D25+D28+D30+D32+D34)</f>
        <v>0</v>
      </c>
      <c r="E16" s="14">
        <f>SUM(E20+E23+E25+E28+E30+E32+E34)</f>
        <v>0</v>
      </c>
      <c r="F16" s="22">
        <f t="shared" ref="F16:F91" si="2">SUM(C16:E16)</f>
        <v>181592</v>
      </c>
      <c r="G16" s="18"/>
    </row>
    <row r="17" spans="1:7" s="4" customFormat="1">
      <c r="A17" s="48" t="s">
        <v>130</v>
      </c>
      <c r="B17" s="7"/>
      <c r="C17" s="14"/>
      <c r="D17" s="14" t="s">
        <v>58</v>
      </c>
      <c r="E17" s="14"/>
      <c r="F17" s="22">
        <f t="shared" si="2"/>
        <v>0</v>
      </c>
      <c r="G17" s="18"/>
    </row>
    <row r="18" spans="1:7" s="5" customFormat="1">
      <c r="A18" s="143" t="s">
        <v>27</v>
      </c>
      <c r="B18" s="6"/>
      <c r="C18" s="15"/>
      <c r="D18" s="15"/>
      <c r="E18" s="15"/>
      <c r="F18" s="22">
        <f t="shared" si="2"/>
        <v>0</v>
      </c>
      <c r="G18" s="19"/>
    </row>
    <row r="19" spans="1:7" s="5" customFormat="1">
      <c r="A19" s="74" t="s">
        <v>21</v>
      </c>
      <c r="B19" s="6" t="s">
        <v>1</v>
      </c>
      <c r="C19" s="15">
        <v>120000</v>
      </c>
      <c r="D19" s="15">
        <v>293000</v>
      </c>
      <c r="E19" s="15">
        <v>28000</v>
      </c>
      <c r="F19" s="22">
        <f t="shared" si="2"/>
        <v>441000</v>
      </c>
      <c r="G19" s="25">
        <f t="shared" ref="G19:G24" si="3">F19-C19-D19-E19</f>
        <v>0</v>
      </c>
    </row>
    <row r="20" spans="1:7" s="5" customFormat="1">
      <c r="A20" s="74"/>
      <c r="B20" s="6" t="s">
        <v>0</v>
      </c>
      <c r="C20" s="15">
        <v>159000</v>
      </c>
      <c r="D20" s="15"/>
      <c r="E20" s="15"/>
      <c r="F20" s="22"/>
      <c r="G20" s="25"/>
    </row>
    <row r="21" spans="1:7" s="5" customFormat="1">
      <c r="A21" s="43" t="s">
        <v>79</v>
      </c>
      <c r="B21" s="6"/>
      <c r="C21" s="15"/>
      <c r="D21" s="15"/>
      <c r="E21" s="15"/>
      <c r="F21" s="22">
        <f>SUM(F22:F24)</f>
        <v>54000</v>
      </c>
      <c r="G21" s="25"/>
    </row>
    <row r="22" spans="1:7" s="5" customFormat="1">
      <c r="A22" s="75" t="s">
        <v>17</v>
      </c>
      <c r="B22" s="6" t="s">
        <v>1</v>
      </c>
      <c r="C22" s="15">
        <v>0</v>
      </c>
      <c r="D22" s="15">
        <v>20000</v>
      </c>
      <c r="E22" s="15">
        <v>11200</v>
      </c>
      <c r="F22" s="22">
        <f t="shared" si="2"/>
        <v>31200</v>
      </c>
      <c r="G22" s="25">
        <f t="shared" si="3"/>
        <v>0</v>
      </c>
    </row>
    <row r="23" spans="1:7" s="5" customFormat="1">
      <c r="A23" s="75"/>
      <c r="B23" s="6" t="s">
        <v>0</v>
      </c>
      <c r="C23" s="15"/>
      <c r="D23" s="15"/>
      <c r="E23" s="15"/>
      <c r="F23" s="22"/>
      <c r="G23" s="25"/>
    </row>
    <row r="24" spans="1:7" s="5" customFormat="1">
      <c r="A24" s="75" t="s">
        <v>14</v>
      </c>
      <c r="B24" s="6" t="s">
        <v>1</v>
      </c>
      <c r="C24" s="15">
        <v>11400</v>
      </c>
      <c r="D24" s="15">
        <v>11400</v>
      </c>
      <c r="E24" s="15">
        <v>0</v>
      </c>
      <c r="F24" s="22">
        <f t="shared" si="2"/>
        <v>22800</v>
      </c>
      <c r="G24" s="25">
        <f t="shared" si="3"/>
        <v>0</v>
      </c>
    </row>
    <row r="25" spans="1:7" s="5" customFormat="1">
      <c r="A25" s="75"/>
      <c r="B25" s="6" t="s">
        <v>0</v>
      </c>
      <c r="C25" s="15"/>
      <c r="D25" s="15"/>
      <c r="E25" s="15"/>
      <c r="F25" s="22"/>
      <c r="G25" s="25"/>
    </row>
    <row r="26" spans="1:7" s="5" customFormat="1">
      <c r="A26" s="45" t="s">
        <v>158</v>
      </c>
      <c r="B26" s="6"/>
      <c r="C26" s="15"/>
      <c r="D26" s="15"/>
      <c r="E26" s="15"/>
      <c r="F26" s="22">
        <f>SUM(F27:F31)</f>
        <v>151800</v>
      </c>
      <c r="G26" s="25"/>
    </row>
    <row r="27" spans="1:7" s="5" customFormat="1">
      <c r="A27" s="76" t="s">
        <v>199</v>
      </c>
      <c r="B27" s="6" t="s">
        <v>1</v>
      </c>
      <c r="C27" s="15">
        <v>10000</v>
      </c>
      <c r="D27" s="15">
        <v>30000</v>
      </c>
      <c r="E27" s="15">
        <v>22000</v>
      </c>
      <c r="F27" s="22">
        <f t="shared" si="2"/>
        <v>62000</v>
      </c>
      <c r="G27" s="25"/>
    </row>
    <row r="28" spans="1:7" s="5" customFormat="1">
      <c r="A28" s="76"/>
      <c r="B28" s="6" t="s">
        <v>0</v>
      </c>
      <c r="C28" s="15">
        <v>10000</v>
      </c>
      <c r="D28" s="15"/>
      <c r="E28" s="15"/>
      <c r="F28" s="22"/>
      <c r="G28" s="25"/>
    </row>
    <row r="29" spans="1:7" s="5" customFormat="1">
      <c r="A29" s="75" t="s">
        <v>9</v>
      </c>
      <c r="B29" s="6" t="s">
        <v>1</v>
      </c>
      <c r="C29" s="15">
        <v>10000</v>
      </c>
      <c r="D29" s="15">
        <v>30000</v>
      </c>
      <c r="E29" s="15">
        <v>29000</v>
      </c>
      <c r="F29" s="22">
        <f t="shared" si="2"/>
        <v>69000</v>
      </c>
      <c r="G29" s="25"/>
    </row>
    <row r="30" spans="1:7" s="5" customFormat="1">
      <c r="A30" s="75"/>
      <c r="B30" s="6" t="s">
        <v>0</v>
      </c>
      <c r="C30" s="15">
        <v>9992</v>
      </c>
      <c r="D30" s="15"/>
      <c r="E30" s="15"/>
      <c r="F30" s="22"/>
      <c r="G30" s="25"/>
    </row>
    <row r="31" spans="1:7" s="5" customFormat="1">
      <c r="A31" s="75" t="s">
        <v>8</v>
      </c>
      <c r="B31" s="6" t="s">
        <v>1</v>
      </c>
      <c r="C31" s="15">
        <v>0</v>
      </c>
      <c r="D31" s="15">
        <v>10000</v>
      </c>
      <c r="E31" s="15">
        <v>10800</v>
      </c>
      <c r="F31" s="22">
        <f t="shared" si="2"/>
        <v>20800</v>
      </c>
      <c r="G31" s="25"/>
    </row>
    <row r="32" spans="1:7" s="5" customFormat="1">
      <c r="A32" s="243"/>
      <c r="B32" s="6" t="s">
        <v>0</v>
      </c>
      <c r="C32" s="15"/>
      <c r="D32" s="15"/>
      <c r="E32" s="15"/>
      <c r="F32" s="22"/>
      <c r="G32" s="25"/>
    </row>
    <row r="33" spans="1:7" s="5" customFormat="1">
      <c r="A33" s="49" t="s">
        <v>7</v>
      </c>
      <c r="B33" s="6" t="s">
        <v>1</v>
      </c>
      <c r="C33" s="15">
        <v>2600</v>
      </c>
      <c r="D33" s="15">
        <v>0</v>
      </c>
      <c r="E33" s="15">
        <v>0</v>
      </c>
      <c r="F33" s="22">
        <f t="shared" ref="F33" si="4">SUM(C33:E33)</f>
        <v>2600</v>
      </c>
      <c r="G33" s="25">
        <f>F33-C33-D33-E33</f>
        <v>0</v>
      </c>
    </row>
    <row r="34" spans="1:7" s="5" customFormat="1">
      <c r="A34" s="49"/>
      <c r="B34" s="6" t="s">
        <v>0</v>
      </c>
      <c r="C34" s="15">
        <v>2600</v>
      </c>
      <c r="D34" s="15"/>
      <c r="E34" s="15"/>
      <c r="F34" s="22"/>
      <c r="G34" s="25"/>
    </row>
    <row r="35" spans="1:7" s="106" customFormat="1">
      <c r="A35" s="31" t="s">
        <v>133</v>
      </c>
      <c r="B35" s="32" t="s">
        <v>1</v>
      </c>
      <c r="C35" s="16">
        <f>SUM(C37:C39)</f>
        <v>0</v>
      </c>
      <c r="D35" s="16">
        <f>SUM(D37:D39)</f>
        <v>39700</v>
      </c>
      <c r="E35" s="16">
        <f>SUM(E37:E39)</f>
        <v>0</v>
      </c>
      <c r="F35" s="22">
        <f t="shared" si="2"/>
        <v>39700</v>
      </c>
      <c r="G35" s="24">
        <f>F35-C35-D35-E35</f>
        <v>0</v>
      </c>
    </row>
    <row r="36" spans="1:7" s="4" customFormat="1">
      <c r="A36" s="33"/>
      <c r="B36" s="7" t="s">
        <v>0</v>
      </c>
      <c r="C36" s="16">
        <f>SUM(C38+C40)</f>
        <v>0</v>
      </c>
      <c r="D36" s="16">
        <f>SUM(D38+D40)</f>
        <v>0</v>
      </c>
      <c r="E36" s="16">
        <f>SUM(E38+E40)</f>
        <v>0</v>
      </c>
      <c r="F36" s="22">
        <f t="shared" si="2"/>
        <v>0</v>
      </c>
      <c r="G36" s="18"/>
    </row>
    <row r="37" spans="1:7">
      <c r="A37" s="82" t="s">
        <v>85</v>
      </c>
      <c r="B37" s="35" t="s">
        <v>1</v>
      </c>
      <c r="C37" s="17">
        <v>0</v>
      </c>
      <c r="D37" s="17">
        <v>13500</v>
      </c>
      <c r="E37" s="17">
        <v>0</v>
      </c>
      <c r="F37" s="22">
        <f t="shared" si="2"/>
        <v>13500</v>
      </c>
      <c r="G37" s="25">
        <f>F37-C37-D37-E37</f>
        <v>0</v>
      </c>
    </row>
    <row r="38" spans="1:7">
      <c r="A38" s="83"/>
      <c r="B38" s="35" t="s">
        <v>0</v>
      </c>
      <c r="C38" s="17"/>
      <c r="D38" s="17"/>
      <c r="E38" s="17"/>
      <c r="F38" s="22">
        <f t="shared" si="2"/>
        <v>0</v>
      </c>
    </row>
    <row r="39" spans="1:7" s="4" customFormat="1">
      <c r="A39" s="85" t="s">
        <v>97</v>
      </c>
      <c r="B39" s="35" t="s">
        <v>1</v>
      </c>
      <c r="C39" s="17">
        <v>0</v>
      </c>
      <c r="D39" s="17">
        <v>26200</v>
      </c>
      <c r="E39" s="17">
        <v>0</v>
      </c>
      <c r="F39" s="22">
        <f t="shared" si="2"/>
        <v>26200</v>
      </c>
      <c r="G39" s="25">
        <f>F39-C39-D39-E39</f>
        <v>0</v>
      </c>
    </row>
    <row r="40" spans="1:7" ht="24" customHeight="1">
      <c r="A40" s="87" t="s">
        <v>2</v>
      </c>
      <c r="B40" s="35" t="s">
        <v>0</v>
      </c>
      <c r="C40" s="17"/>
      <c r="D40" s="17"/>
      <c r="E40" s="17"/>
      <c r="F40" s="22">
        <f t="shared" si="2"/>
        <v>0</v>
      </c>
    </row>
    <row r="41" spans="1:7">
      <c r="A41" s="107" t="s">
        <v>140</v>
      </c>
      <c r="B41" s="141"/>
      <c r="C41" s="3"/>
      <c r="D41" s="3"/>
      <c r="E41" s="3"/>
      <c r="F41" s="22">
        <f t="shared" si="2"/>
        <v>0</v>
      </c>
    </row>
    <row r="42" spans="1:7">
      <c r="A42" s="66" t="s">
        <v>159</v>
      </c>
      <c r="B42" s="8" t="s">
        <v>1</v>
      </c>
      <c r="C42" s="57">
        <f>SUM(C44+C46+C84+C90)</f>
        <v>29390194</v>
      </c>
      <c r="D42" s="57">
        <f>SUM(D44+D46+D84+D90)</f>
        <v>25359500</v>
      </c>
      <c r="E42" s="57">
        <f>SUM(E44+E46+E84+E90)</f>
        <v>17137600</v>
      </c>
      <c r="F42" s="22">
        <f>SUM(C42:E42)</f>
        <v>71887294</v>
      </c>
      <c r="G42" s="23"/>
    </row>
    <row r="43" spans="1:7">
      <c r="A43" s="67"/>
      <c r="B43" s="8" t="s">
        <v>0</v>
      </c>
      <c r="C43" s="57">
        <f>SUM(C47+C85+C91)</f>
        <v>2745094</v>
      </c>
      <c r="D43" s="57"/>
      <c r="E43" s="57"/>
      <c r="F43" s="22">
        <f t="shared" si="2"/>
        <v>2745094</v>
      </c>
    </row>
    <row r="44" spans="1:7">
      <c r="A44" s="29" t="s">
        <v>129</v>
      </c>
      <c r="B44" s="7" t="s">
        <v>1</v>
      </c>
      <c r="C44" s="14">
        <v>0</v>
      </c>
      <c r="D44" s="14">
        <v>0</v>
      </c>
      <c r="E44" s="14">
        <v>0</v>
      </c>
      <c r="F44" s="22">
        <f t="shared" si="2"/>
        <v>0</v>
      </c>
      <c r="G44" s="24">
        <f>F44-C44-D44-E44</f>
        <v>0</v>
      </c>
    </row>
    <row r="45" spans="1:7" s="4" customFormat="1">
      <c r="A45" s="30"/>
      <c r="B45" s="7" t="s">
        <v>0</v>
      </c>
      <c r="C45" s="14"/>
      <c r="D45" s="14"/>
      <c r="E45" s="14"/>
      <c r="F45" s="22">
        <f t="shared" si="2"/>
        <v>0</v>
      </c>
    </row>
    <row r="46" spans="1:7" s="5" customFormat="1">
      <c r="A46" s="29" t="s">
        <v>131</v>
      </c>
      <c r="B46" s="7" t="s">
        <v>1</v>
      </c>
      <c r="C46" s="14">
        <f>SUM(C50:C82)</f>
        <v>10570000</v>
      </c>
      <c r="D46" s="14">
        <f>SUM(D50:D82)</f>
        <v>3471800</v>
      </c>
      <c r="E46" s="14">
        <f>SUM(E50:E82)</f>
        <v>980000</v>
      </c>
      <c r="F46" s="22">
        <f t="shared" si="2"/>
        <v>15021800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SUM(C51+C54+C56+C58+C60+C62+C64+C66+C69+C71+C73+C75+C77+C79+C81+C83)</f>
        <v>1789300</v>
      </c>
      <c r="D47" s="14"/>
      <c r="E47" s="14"/>
      <c r="F47" s="22">
        <f t="shared" si="2"/>
        <v>1789300</v>
      </c>
      <c r="G47" s="18"/>
    </row>
    <row r="48" spans="1:7" s="4" customFormat="1">
      <c r="A48" s="48" t="s">
        <v>130</v>
      </c>
      <c r="B48" s="7"/>
      <c r="C48" s="14"/>
      <c r="D48" s="14"/>
      <c r="E48" s="14"/>
      <c r="F48" s="22" t="s">
        <v>58</v>
      </c>
      <c r="G48" s="18"/>
    </row>
    <row r="49" spans="1:7" s="4" customFormat="1">
      <c r="A49" s="143" t="s">
        <v>27</v>
      </c>
      <c r="B49" s="6"/>
      <c r="C49" s="15"/>
      <c r="D49" s="15"/>
      <c r="E49" s="15"/>
      <c r="F49" s="22">
        <f>SUM(F50:F50)</f>
        <v>2480000</v>
      </c>
      <c r="G49" s="19"/>
    </row>
    <row r="50" spans="1:7" s="5" customFormat="1">
      <c r="A50" s="75" t="s">
        <v>73</v>
      </c>
      <c r="B50" s="6" t="s">
        <v>1</v>
      </c>
      <c r="C50" s="15">
        <v>700000</v>
      </c>
      <c r="D50" s="15">
        <v>800000</v>
      </c>
      <c r="E50" s="15">
        <v>980000</v>
      </c>
      <c r="F50" s="22">
        <f t="shared" si="2"/>
        <v>2480000</v>
      </c>
      <c r="G50" s="25">
        <f>F50-C50-D50-E50</f>
        <v>0</v>
      </c>
    </row>
    <row r="51" spans="1:7" s="5" customFormat="1">
      <c r="A51" s="75"/>
      <c r="B51" s="6" t="s">
        <v>0</v>
      </c>
      <c r="C51" s="15">
        <v>184000</v>
      </c>
      <c r="D51" s="15"/>
      <c r="E51" s="15"/>
      <c r="F51" s="22"/>
      <c r="G51" s="25"/>
    </row>
    <row r="52" spans="1:7" s="5" customFormat="1">
      <c r="A52" s="43" t="s">
        <v>79</v>
      </c>
      <c r="B52" s="6"/>
      <c r="C52" s="15"/>
      <c r="D52" s="15"/>
      <c r="E52" s="15"/>
      <c r="F52" s="22">
        <f>SUM(F53:F65)</f>
        <v>10080600</v>
      </c>
      <c r="G52" s="25"/>
    </row>
    <row r="53" spans="1:7" s="5" customFormat="1">
      <c r="A53" s="75" t="s">
        <v>18</v>
      </c>
      <c r="B53" s="6" t="s">
        <v>1</v>
      </c>
      <c r="C53" s="15">
        <v>10000</v>
      </c>
      <c r="D53" s="15">
        <v>0</v>
      </c>
      <c r="E53" s="15">
        <v>0</v>
      </c>
      <c r="F53" s="22">
        <f t="shared" si="2"/>
        <v>10000</v>
      </c>
      <c r="G53" s="25">
        <f t="shared" ref="G53" si="5">F53-C53-D53-E53</f>
        <v>0</v>
      </c>
    </row>
    <row r="54" spans="1:7" s="5" customFormat="1">
      <c r="A54" s="75"/>
      <c r="B54" s="6" t="s">
        <v>0</v>
      </c>
      <c r="C54" s="15"/>
      <c r="D54" s="15"/>
      <c r="E54" s="15"/>
      <c r="F54" s="22"/>
      <c r="G54" s="25"/>
    </row>
    <row r="55" spans="1:7" s="5" customFormat="1">
      <c r="A55" s="75" t="s">
        <v>74</v>
      </c>
      <c r="B55" s="6" t="s">
        <v>1</v>
      </c>
      <c r="C55" s="15"/>
      <c r="D55" s="15">
        <v>120000</v>
      </c>
      <c r="E55" s="15">
        <v>0</v>
      </c>
      <c r="F55" s="22">
        <f t="shared" si="2"/>
        <v>120000</v>
      </c>
      <c r="G55" s="25">
        <f t="shared" ref="G55:G65" si="6">F55-C55-D55-E55</f>
        <v>0</v>
      </c>
    </row>
    <row r="56" spans="1:7" s="5" customFormat="1">
      <c r="A56" s="75"/>
      <c r="B56" s="6" t="s">
        <v>0</v>
      </c>
      <c r="C56" s="15"/>
      <c r="D56" s="15"/>
      <c r="E56" s="15"/>
      <c r="F56" s="22"/>
      <c r="G56" s="25"/>
    </row>
    <row r="57" spans="1:7" s="5" customFormat="1">
      <c r="A57" s="75" t="s">
        <v>75</v>
      </c>
      <c r="B57" s="6" t="s">
        <v>1</v>
      </c>
      <c r="C57" s="15">
        <v>1500000</v>
      </c>
      <c r="D57" s="15">
        <v>1500000</v>
      </c>
      <c r="E57" s="15">
        <v>0</v>
      </c>
      <c r="F57" s="22">
        <f t="shared" si="2"/>
        <v>3000000</v>
      </c>
      <c r="G57" s="25">
        <f t="shared" si="6"/>
        <v>0</v>
      </c>
    </row>
    <row r="58" spans="1:7" s="5" customFormat="1">
      <c r="A58" s="240"/>
      <c r="B58" s="6" t="s">
        <v>0</v>
      </c>
      <c r="C58" s="15"/>
      <c r="D58" s="15"/>
      <c r="E58" s="15"/>
      <c r="F58" s="22"/>
      <c r="G58" s="25"/>
    </row>
    <row r="59" spans="1:7" s="5" customFormat="1">
      <c r="A59" s="75" t="s">
        <v>76</v>
      </c>
      <c r="B59" s="6" t="s">
        <v>1</v>
      </c>
      <c r="C59" s="15">
        <v>0</v>
      </c>
      <c r="D59" s="15">
        <v>50000</v>
      </c>
      <c r="E59" s="15">
        <v>0</v>
      </c>
      <c r="F59" s="22">
        <f t="shared" si="2"/>
        <v>50000</v>
      </c>
      <c r="G59" s="25">
        <f t="shared" si="6"/>
        <v>0</v>
      </c>
    </row>
    <row r="60" spans="1:7" s="5" customFormat="1">
      <c r="A60" s="75"/>
      <c r="B60" s="6" t="s">
        <v>0</v>
      </c>
      <c r="C60" s="15"/>
      <c r="D60" s="15"/>
      <c r="E60" s="15"/>
      <c r="F60" s="22"/>
      <c r="G60" s="25"/>
    </row>
    <row r="61" spans="1:7" s="5" customFormat="1">
      <c r="A61" s="76" t="s">
        <v>247</v>
      </c>
      <c r="B61" s="6" t="s">
        <v>1</v>
      </c>
      <c r="C61" s="15">
        <v>2268000</v>
      </c>
      <c r="D61" s="15">
        <v>0</v>
      </c>
      <c r="E61" s="15">
        <v>0</v>
      </c>
      <c r="F61" s="22">
        <f t="shared" si="2"/>
        <v>2268000</v>
      </c>
      <c r="G61" s="25">
        <f t="shared" ref="G61" si="7">F61-C61-D61-E61</f>
        <v>0</v>
      </c>
    </row>
    <row r="62" spans="1:7" s="5" customFormat="1">
      <c r="A62" s="76"/>
      <c r="B62" s="6" t="s">
        <v>0</v>
      </c>
      <c r="C62" s="15">
        <v>522000</v>
      </c>
      <c r="D62" s="15"/>
      <c r="E62" s="15"/>
      <c r="F62" s="22"/>
      <c r="G62" s="25"/>
    </row>
    <row r="63" spans="1:7" s="5" customFormat="1">
      <c r="A63" s="76" t="s">
        <v>248</v>
      </c>
      <c r="B63" s="6" t="s">
        <v>1</v>
      </c>
      <c r="C63" s="15">
        <v>4263600</v>
      </c>
      <c r="D63" s="15">
        <v>0</v>
      </c>
      <c r="E63" s="15">
        <v>0</v>
      </c>
      <c r="F63" s="22">
        <f t="shared" si="2"/>
        <v>4263600</v>
      </c>
      <c r="G63" s="25">
        <f t="shared" si="6"/>
        <v>0</v>
      </c>
    </row>
    <row r="64" spans="1:7" s="5" customFormat="1">
      <c r="A64" s="76"/>
      <c r="B64" s="6" t="s">
        <v>0</v>
      </c>
      <c r="C64" s="15">
        <v>1045500</v>
      </c>
      <c r="D64" s="15"/>
      <c r="E64" s="15"/>
      <c r="F64" s="22"/>
      <c r="G64" s="25"/>
    </row>
    <row r="65" spans="1:7" s="5" customFormat="1">
      <c r="A65" s="75" t="s">
        <v>77</v>
      </c>
      <c r="B65" s="6" t="s">
        <v>1</v>
      </c>
      <c r="C65" s="15">
        <v>0</v>
      </c>
      <c r="D65" s="15">
        <v>369000</v>
      </c>
      <c r="E65" s="15">
        <v>0</v>
      </c>
      <c r="F65" s="22">
        <f t="shared" si="2"/>
        <v>369000</v>
      </c>
      <c r="G65" s="64">
        <f t="shared" si="6"/>
        <v>0</v>
      </c>
    </row>
    <row r="66" spans="1:7" s="5" customFormat="1">
      <c r="A66" s="75"/>
      <c r="B66" s="6" t="s">
        <v>0</v>
      </c>
      <c r="C66" s="15"/>
      <c r="D66" s="15"/>
      <c r="E66" s="15"/>
      <c r="F66" s="22"/>
      <c r="G66" s="64"/>
    </row>
    <row r="67" spans="1:7" s="5" customFormat="1">
      <c r="A67" s="45" t="s">
        <v>158</v>
      </c>
      <c r="B67" s="6"/>
      <c r="C67" s="15"/>
      <c r="D67" s="15"/>
      <c r="E67" s="15"/>
      <c r="F67" s="22">
        <f>SUM(F70:F82)</f>
        <v>662800</v>
      </c>
      <c r="G67" s="25"/>
    </row>
    <row r="68" spans="1:7" s="5" customFormat="1">
      <c r="A68" s="44" t="s">
        <v>7</v>
      </c>
      <c r="B68" s="6" t="s">
        <v>1</v>
      </c>
      <c r="C68" s="15">
        <v>9100</v>
      </c>
      <c r="D68" s="15">
        <v>0</v>
      </c>
      <c r="E68" s="15">
        <v>0</v>
      </c>
      <c r="F68" s="22">
        <f t="shared" ref="F68" si="8">SUM(C68:E68)</f>
        <v>9100</v>
      </c>
      <c r="G68" s="25" t="e">
        <f>F68-#REF!-#REF!-#REF!</f>
        <v>#REF!</v>
      </c>
    </row>
    <row r="69" spans="1:7" s="5" customFormat="1">
      <c r="A69" s="44"/>
      <c r="B69" s="6" t="s">
        <v>0</v>
      </c>
      <c r="C69" s="15">
        <v>7800</v>
      </c>
      <c r="D69" s="15"/>
      <c r="E69" s="15"/>
      <c r="F69" s="22"/>
      <c r="G69" s="25"/>
    </row>
    <row r="70" spans="1:7" s="5" customFormat="1">
      <c r="A70" s="75" t="s">
        <v>80</v>
      </c>
      <c r="B70" s="6" t="s">
        <v>1</v>
      </c>
      <c r="C70" s="15">
        <v>12000</v>
      </c>
      <c r="D70" s="15">
        <v>0</v>
      </c>
      <c r="E70" s="15">
        <v>0</v>
      </c>
      <c r="F70" s="22">
        <f t="shared" si="2"/>
        <v>12000</v>
      </c>
      <c r="G70" s="25">
        <f t="shared" ref="G70:G84" si="9">F70-C70-D70-E70</f>
        <v>0</v>
      </c>
    </row>
    <row r="71" spans="1:7" s="5" customFormat="1">
      <c r="A71" s="75"/>
      <c r="B71" s="6" t="s">
        <v>0</v>
      </c>
      <c r="C71" s="15">
        <v>12000</v>
      </c>
      <c r="D71" s="15"/>
      <c r="E71" s="15"/>
      <c r="F71" s="22"/>
      <c r="G71" s="25"/>
    </row>
    <row r="72" spans="1:7" s="5" customFormat="1">
      <c r="A72" s="76" t="s">
        <v>249</v>
      </c>
      <c r="B72" s="6" t="s">
        <v>1</v>
      </c>
      <c r="C72" s="15">
        <v>0</v>
      </c>
      <c r="D72" s="15">
        <v>75000</v>
      </c>
      <c r="E72" s="15">
        <v>0</v>
      </c>
      <c r="F72" s="22">
        <f t="shared" si="2"/>
        <v>75000</v>
      </c>
      <c r="G72" s="25">
        <f t="shared" si="9"/>
        <v>0</v>
      </c>
    </row>
    <row r="73" spans="1:7" s="5" customFormat="1">
      <c r="A73" s="76"/>
      <c r="B73" s="6" t="s">
        <v>0</v>
      </c>
      <c r="C73" s="15"/>
      <c r="D73" s="15"/>
      <c r="E73" s="15"/>
      <c r="F73" s="22"/>
      <c r="G73" s="25"/>
    </row>
    <row r="74" spans="1:7" s="5" customFormat="1">
      <c r="A74" s="216" t="s">
        <v>90</v>
      </c>
      <c r="B74" s="6" t="s">
        <v>1</v>
      </c>
      <c r="C74" s="15">
        <v>0</v>
      </c>
      <c r="D74" s="15">
        <v>320700</v>
      </c>
      <c r="E74" s="15">
        <v>0</v>
      </c>
      <c r="F74" s="22">
        <f t="shared" si="2"/>
        <v>320700</v>
      </c>
      <c r="G74" s="25">
        <f t="shared" si="9"/>
        <v>0</v>
      </c>
    </row>
    <row r="75" spans="1:7" s="5" customFormat="1">
      <c r="A75" s="216"/>
      <c r="B75" s="6" t="s">
        <v>0</v>
      </c>
      <c r="C75" s="15"/>
      <c r="D75" s="15"/>
      <c r="E75" s="15"/>
      <c r="F75" s="22"/>
      <c r="G75" s="25"/>
    </row>
    <row r="76" spans="1:7" s="5" customFormat="1">
      <c r="A76" s="75" t="s">
        <v>81</v>
      </c>
      <c r="B76" s="6" t="s">
        <v>1</v>
      </c>
      <c r="C76" s="15">
        <v>0</v>
      </c>
      <c r="D76" s="15">
        <v>84600</v>
      </c>
      <c r="E76" s="15">
        <v>0</v>
      </c>
      <c r="F76" s="22">
        <f t="shared" si="2"/>
        <v>84600</v>
      </c>
      <c r="G76" s="25">
        <f t="shared" si="9"/>
        <v>0</v>
      </c>
    </row>
    <row r="77" spans="1:7" s="5" customFormat="1">
      <c r="A77" s="75"/>
      <c r="B77" s="6" t="s">
        <v>0</v>
      </c>
      <c r="C77" s="15"/>
      <c r="D77" s="15"/>
      <c r="E77" s="15"/>
      <c r="F77" s="22"/>
      <c r="G77" s="25"/>
    </row>
    <row r="78" spans="1:7" s="5" customFormat="1">
      <c r="A78" s="76" t="s">
        <v>91</v>
      </c>
      <c r="B78" s="6" t="s">
        <v>1</v>
      </c>
      <c r="C78" s="15">
        <v>0</v>
      </c>
      <c r="D78" s="15">
        <v>33900</v>
      </c>
      <c r="E78" s="15">
        <v>0</v>
      </c>
      <c r="F78" s="22">
        <f t="shared" si="2"/>
        <v>33900</v>
      </c>
      <c r="G78" s="25">
        <f t="shared" si="9"/>
        <v>0</v>
      </c>
    </row>
    <row r="79" spans="1:7" s="5" customFormat="1">
      <c r="A79" s="76"/>
      <c r="B79" s="6" t="s">
        <v>0</v>
      </c>
      <c r="C79" s="15"/>
      <c r="D79" s="15"/>
      <c r="E79" s="15"/>
      <c r="F79" s="22"/>
      <c r="G79" s="25"/>
    </row>
    <row r="80" spans="1:7" s="5" customFormat="1">
      <c r="A80" s="76" t="s">
        <v>92</v>
      </c>
      <c r="B80" s="190" t="s">
        <v>1</v>
      </c>
      <c r="C80" s="15">
        <v>18000</v>
      </c>
      <c r="D80" s="15">
        <v>0</v>
      </c>
      <c r="E80" s="15">
        <v>0</v>
      </c>
      <c r="F80" s="22">
        <f t="shared" si="2"/>
        <v>18000</v>
      </c>
      <c r="G80" s="25">
        <f t="shared" si="9"/>
        <v>0</v>
      </c>
    </row>
    <row r="81" spans="1:7" s="5" customFormat="1">
      <c r="A81" s="76"/>
      <c r="B81" s="6" t="s">
        <v>0</v>
      </c>
      <c r="C81" s="15">
        <v>18000</v>
      </c>
      <c r="D81" s="15"/>
      <c r="E81" s="15"/>
      <c r="F81" s="22"/>
      <c r="G81" s="25"/>
    </row>
    <row r="82" spans="1:7" s="5" customFormat="1">
      <c r="A82" s="76" t="s">
        <v>93</v>
      </c>
      <c r="B82" s="6" t="s">
        <v>1</v>
      </c>
      <c r="C82" s="15">
        <v>0</v>
      </c>
      <c r="D82" s="15">
        <v>118600</v>
      </c>
      <c r="E82" s="15">
        <v>0</v>
      </c>
      <c r="F82" s="22">
        <f t="shared" si="2"/>
        <v>118600</v>
      </c>
      <c r="G82" s="25">
        <f t="shared" si="9"/>
        <v>0</v>
      </c>
    </row>
    <row r="83" spans="1:7" s="5" customFormat="1">
      <c r="A83" s="241"/>
      <c r="B83" s="190" t="s">
        <v>0</v>
      </c>
      <c r="C83" s="15"/>
      <c r="D83" s="15"/>
      <c r="E83" s="15"/>
      <c r="F83" s="22"/>
      <c r="G83" s="25"/>
    </row>
    <row r="84" spans="1:7" s="5" customFormat="1">
      <c r="A84" s="230" t="s">
        <v>216</v>
      </c>
      <c r="B84" s="32" t="s">
        <v>1</v>
      </c>
      <c r="C84" s="16">
        <f>C86+C88</f>
        <v>13600000</v>
      </c>
      <c r="D84" s="16">
        <f t="shared" ref="D84:E84" si="10">D86+D88</f>
        <v>13000000</v>
      </c>
      <c r="E84" s="16">
        <f t="shared" si="10"/>
        <v>12974600</v>
      </c>
      <c r="F84" s="22">
        <f t="shared" si="2"/>
        <v>39574600</v>
      </c>
      <c r="G84" s="24">
        <f t="shared" si="9"/>
        <v>0</v>
      </c>
    </row>
    <row r="85" spans="1:7" s="4" customFormat="1">
      <c r="A85" s="77"/>
      <c r="B85" s="7" t="s">
        <v>0</v>
      </c>
      <c r="C85" s="16">
        <f>SUM(C87+C89)</f>
        <v>0</v>
      </c>
      <c r="D85" s="16"/>
      <c r="E85" s="16"/>
      <c r="F85" s="22">
        <f t="shared" si="2"/>
        <v>0</v>
      </c>
      <c r="G85" s="18"/>
    </row>
    <row r="86" spans="1:7" s="4" customFormat="1">
      <c r="A86" s="78" t="s">
        <v>82</v>
      </c>
      <c r="B86" s="35" t="s">
        <v>1</v>
      </c>
      <c r="C86" s="17">
        <v>5000000</v>
      </c>
      <c r="D86" s="17">
        <v>4600000</v>
      </c>
      <c r="E86" s="17">
        <v>4570600</v>
      </c>
      <c r="F86" s="22">
        <f t="shared" si="2"/>
        <v>14170600</v>
      </c>
      <c r="G86" s="25">
        <f>F86-C86-D86-E86</f>
        <v>0</v>
      </c>
    </row>
    <row r="87" spans="1:7">
      <c r="A87" s="79"/>
      <c r="B87" s="35" t="s">
        <v>0</v>
      </c>
      <c r="C87" s="17"/>
      <c r="D87" s="17"/>
      <c r="E87" s="17"/>
      <c r="F87" s="22">
        <f t="shared" si="2"/>
        <v>0</v>
      </c>
    </row>
    <row r="88" spans="1:7">
      <c r="A88" s="79" t="s">
        <v>84</v>
      </c>
      <c r="B88" s="35" t="s">
        <v>1</v>
      </c>
      <c r="C88" s="17">
        <v>8600000</v>
      </c>
      <c r="D88" s="17">
        <v>8400000</v>
      </c>
      <c r="E88" s="17">
        <v>8404000</v>
      </c>
      <c r="F88" s="22">
        <f t="shared" si="2"/>
        <v>25404000</v>
      </c>
      <c r="G88" s="25">
        <f>F88-C88-D88-E88</f>
        <v>0</v>
      </c>
    </row>
    <row r="89" spans="1:7">
      <c r="A89" s="80" t="s">
        <v>2</v>
      </c>
      <c r="B89" s="35" t="s">
        <v>0</v>
      </c>
      <c r="C89" s="17"/>
      <c r="D89" s="17"/>
      <c r="E89" s="17"/>
      <c r="F89" s="22">
        <f t="shared" si="2"/>
        <v>0</v>
      </c>
    </row>
    <row r="90" spans="1:7" s="106" customFormat="1">
      <c r="A90" s="31" t="s">
        <v>160</v>
      </c>
      <c r="B90" s="32" t="s">
        <v>1</v>
      </c>
      <c r="C90" s="16">
        <f>SUM(C92:C120)</f>
        <v>5220194</v>
      </c>
      <c r="D90" s="16">
        <f>SUM(D92:D120)</f>
        <v>8887700</v>
      </c>
      <c r="E90" s="16">
        <f>SUM(E92:E120)</f>
        <v>3183000</v>
      </c>
      <c r="F90" s="22">
        <f t="shared" si="2"/>
        <v>17290894</v>
      </c>
      <c r="G90" s="24">
        <f>F90-C90-D90-E90</f>
        <v>0</v>
      </c>
    </row>
    <row r="91" spans="1:7" s="4" customFormat="1">
      <c r="A91" s="33"/>
      <c r="B91" s="7" t="s">
        <v>0</v>
      </c>
      <c r="C91" s="16">
        <f>SUM(C93+C95+C97+C99+C101+C103+C105+C107+C109+C111+C113+C115+C117+C119+C121)</f>
        <v>955794</v>
      </c>
      <c r="D91" s="16">
        <f>SUM(D93+D95+D97+D99+D101+D103+D105+D107+D109+D111+D113+D115+D117+D119+D121)</f>
        <v>0</v>
      </c>
      <c r="E91" s="16">
        <f>SUM(E93+E95+E97+E99+E101+E103+E105+E107+E109+E111+E113+E115+E117+E119+E121)</f>
        <v>0</v>
      </c>
      <c r="F91" s="22">
        <f t="shared" si="2"/>
        <v>955794</v>
      </c>
      <c r="G91" s="18"/>
    </row>
    <row r="92" spans="1:7">
      <c r="A92" s="86" t="s">
        <v>94</v>
      </c>
      <c r="B92" s="35" t="s">
        <v>1</v>
      </c>
      <c r="C92" s="17">
        <v>61500</v>
      </c>
      <c r="D92" s="17">
        <v>0</v>
      </c>
      <c r="E92" s="17">
        <v>0</v>
      </c>
      <c r="F92" s="22">
        <f t="shared" ref="F92:F97" si="11">SUM(C92:E92)</f>
        <v>61500</v>
      </c>
      <c r="G92" s="25">
        <f>F92-C92-D92-E92</f>
        <v>0</v>
      </c>
    </row>
    <row r="93" spans="1:7" ht="24" customHeight="1">
      <c r="A93" s="87" t="s">
        <v>83</v>
      </c>
      <c r="B93" s="35" t="s">
        <v>0</v>
      </c>
      <c r="C93" s="17">
        <v>10178</v>
      </c>
      <c r="D93" s="17"/>
      <c r="E93" s="17">
        <v>0</v>
      </c>
      <c r="F93" s="22">
        <f t="shared" si="11"/>
        <v>10178</v>
      </c>
    </row>
    <row r="94" spans="1:7">
      <c r="A94" s="86" t="s">
        <v>95</v>
      </c>
      <c r="B94" s="35" t="s">
        <v>1</v>
      </c>
      <c r="C94" s="17">
        <v>15400</v>
      </c>
      <c r="D94" s="17">
        <v>0</v>
      </c>
      <c r="E94" s="17">
        <v>0</v>
      </c>
      <c r="F94" s="22">
        <f t="shared" si="11"/>
        <v>15400</v>
      </c>
      <c r="G94" s="25">
        <f>F94-C94-D94-E94</f>
        <v>0</v>
      </c>
    </row>
    <row r="95" spans="1:7" ht="24" customHeight="1">
      <c r="A95" s="213" t="s">
        <v>83</v>
      </c>
      <c r="B95" s="35" t="s">
        <v>0</v>
      </c>
      <c r="C95" s="17">
        <v>5616</v>
      </c>
      <c r="D95" s="17"/>
      <c r="E95" s="17">
        <v>0</v>
      </c>
      <c r="F95" s="22">
        <f t="shared" si="11"/>
        <v>5616</v>
      </c>
    </row>
    <row r="96" spans="1:7">
      <c r="A96" s="81" t="s">
        <v>98</v>
      </c>
      <c r="B96" s="35" t="s">
        <v>1</v>
      </c>
      <c r="C96" s="17">
        <v>86600</v>
      </c>
      <c r="D96" s="17">
        <v>0</v>
      </c>
      <c r="E96" s="17">
        <v>0</v>
      </c>
      <c r="F96" s="22">
        <f t="shared" si="11"/>
        <v>86600</v>
      </c>
      <c r="G96" s="25">
        <f>F96-C96-D96-E96</f>
        <v>0</v>
      </c>
    </row>
    <row r="97" spans="1:7" ht="24" customHeight="1">
      <c r="A97" s="84" t="s">
        <v>58</v>
      </c>
      <c r="B97" s="35" t="s">
        <v>0</v>
      </c>
      <c r="C97" s="17">
        <v>56400</v>
      </c>
      <c r="D97" s="17"/>
      <c r="E97" s="17"/>
      <c r="F97" s="22">
        <f t="shared" si="11"/>
        <v>56400</v>
      </c>
    </row>
    <row r="98" spans="1:7">
      <c r="A98" s="81" t="s">
        <v>87</v>
      </c>
      <c r="B98" s="35" t="s">
        <v>1</v>
      </c>
      <c r="C98" s="17">
        <v>10000</v>
      </c>
      <c r="D98" s="17">
        <v>0</v>
      </c>
      <c r="E98" s="17">
        <v>0</v>
      </c>
      <c r="F98" s="22">
        <f t="shared" ref="F98:F123" si="12">SUM(C98:E98)</f>
        <v>10000</v>
      </c>
      <c r="G98" s="25">
        <f>F98-C98-D98-E98</f>
        <v>0</v>
      </c>
    </row>
    <row r="99" spans="1:7" ht="24" customHeight="1">
      <c r="A99" s="213" t="s">
        <v>58</v>
      </c>
      <c r="B99" s="35" t="s">
        <v>0</v>
      </c>
      <c r="C99" s="17">
        <v>10000</v>
      </c>
      <c r="D99" s="17"/>
      <c r="E99" s="17"/>
      <c r="F99" s="22">
        <f t="shared" si="12"/>
        <v>10000</v>
      </c>
    </row>
    <row r="100" spans="1:7">
      <c r="A100" s="81" t="s">
        <v>100</v>
      </c>
      <c r="B100" s="35" t="s">
        <v>1</v>
      </c>
      <c r="C100" s="17">
        <v>0</v>
      </c>
      <c r="D100" s="17">
        <v>199400</v>
      </c>
      <c r="E100" s="17">
        <v>0</v>
      </c>
      <c r="F100" s="22">
        <f t="shared" ref="F100:F105" si="13">SUM(C100:E100)</f>
        <v>199400</v>
      </c>
      <c r="G100" s="25">
        <f>F100-C100-D100-E100</f>
        <v>0</v>
      </c>
    </row>
    <row r="101" spans="1:7">
      <c r="A101" s="88" t="s">
        <v>58</v>
      </c>
      <c r="B101" s="35" t="s">
        <v>0</v>
      </c>
      <c r="C101" s="17">
        <v>0</v>
      </c>
      <c r="D101" s="17"/>
      <c r="E101" s="17"/>
      <c r="F101" s="22">
        <f t="shared" si="13"/>
        <v>0</v>
      </c>
    </row>
    <row r="102" spans="1:7">
      <c r="A102" s="81" t="s">
        <v>99</v>
      </c>
      <c r="B102" s="35" t="s">
        <v>1</v>
      </c>
      <c r="C102" s="17">
        <v>599300</v>
      </c>
      <c r="D102" s="17">
        <v>0</v>
      </c>
      <c r="E102" s="17">
        <v>0</v>
      </c>
      <c r="F102" s="22">
        <f t="shared" si="13"/>
        <v>599300</v>
      </c>
      <c r="G102" s="25">
        <f>F102-C102-D102-E102</f>
        <v>0</v>
      </c>
    </row>
    <row r="103" spans="1:7">
      <c r="A103" s="88" t="s">
        <v>2</v>
      </c>
      <c r="B103" s="35" t="s">
        <v>0</v>
      </c>
      <c r="C103" s="17">
        <v>0</v>
      </c>
      <c r="D103" s="17"/>
      <c r="E103" s="17"/>
      <c r="F103" s="22">
        <f t="shared" si="13"/>
        <v>0</v>
      </c>
    </row>
    <row r="104" spans="1:7">
      <c r="A104" s="82" t="s">
        <v>161</v>
      </c>
      <c r="B104" s="35" t="s">
        <v>1</v>
      </c>
      <c r="C104" s="17">
        <v>0</v>
      </c>
      <c r="D104" s="17">
        <v>138000</v>
      </c>
      <c r="E104" s="17">
        <v>0</v>
      </c>
      <c r="F104" s="22">
        <f t="shared" si="13"/>
        <v>138000</v>
      </c>
      <c r="G104" s="25">
        <f>F104-C104-D104-E104</f>
        <v>0</v>
      </c>
    </row>
    <row r="105" spans="1:7">
      <c r="A105" s="83" t="s">
        <v>2</v>
      </c>
      <c r="B105" s="35" t="s">
        <v>0</v>
      </c>
      <c r="C105" s="17">
        <v>0</v>
      </c>
      <c r="D105" s="17"/>
      <c r="E105" s="17"/>
      <c r="F105" s="22">
        <f t="shared" si="13"/>
        <v>0</v>
      </c>
    </row>
    <row r="106" spans="1:7">
      <c r="A106" s="86" t="s">
        <v>250</v>
      </c>
      <c r="B106" s="35" t="s">
        <v>1</v>
      </c>
      <c r="C106" s="17">
        <v>0</v>
      </c>
      <c r="D106" s="17">
        <v>169500</v>
      </c>
      <c r="E106" s="17">
        <v>0</v>
      </c>
      <c r="F106" s="22"/>
    </row>
    <row r="107" spans="1:7">
      <c r="A107" s="83"/>
      <c r="B107" s="35" t="s">
        <v>0</v>
      </c>
      <c r="C107" s="17">
        <v>0</v>
      </c>
      <c r="D107" s="17"/>
      <c r="E107" s="17"/>
      <c r="F107" s="22"/>
    </row>
    <row r="108" spans="1:7">
      <c r="A108" s="85" t="s">
        <v>96</v>
      </c>
      <c r="B108" s="35" t="s">
        <v>1</v>
      </c>
      <c r="C108" s="17">
        <v>0</v>
      </c>
      <c r="D108" s="17">
        <v>5080800</v>
      </c>
      <c r="E108" s="17">
        <v>0</v>
      </c>
      <c r="F108" s="22">
        <f t="shared" si="12"/>
        <v>5080800</v>
      </c>
      <c r="G108" s="25">
        <f>F108-C108-D108-E108</f>
        <v>0</v>
      </c>
    </row>
    <row r="109" spans="1:7" ht="24" customHeight="1">
      <c r="A109" s="213" t="s">
        <v>58</v>
      </c>
      <c r="B109" s="35" t="s">
        <v>0</v>
      </c>
      <c r="C109" s="17">
        <v>0</v>
      </c>
      <c r="D109" s="17"/>
      <c r="E109" s="17"/>
      <c r="F109" s="22">
        <f t="shared" si="12"/>
        <v>0</v>
      </c>
    </row>
    <row r="110" spans="1:7">
      <c r="A110" s="242" t="s">
        <v>86</v>
      </c>
      <c r="B110" s="35" t="s">
        <v>1</v>
      </c>
      <c r="C110" s="17">
        <v>1200000</v>
      </c>
      <c r="D110" s="17">
        <v>1200000</v>
      </c>
      <c r="E110" s="17">
        <v>996000</v>
      </c>
      <c r="F110" s="22">
        <f t="shared" si="12"/>
        <v>3396000</v>
      </c>
      <c r="G110" s="25">
        <f>F110-C110-D110-E110</f>
        <v>0</v>
      </c>
    </row>
    <row r="111" spans="1:7" ht="24" customHeight="1">
      <c r="A111" s="84" t="s">
        <v>58</v>
      </c>
      <c r="B111" s="35" t="s">
        <v>0</v>
      </c>
      <c r="C111" s="17">
        <v>300000</v>
      </c>
      <c r="D111" s="17"/>
      <c r="E111" s="17"/>
      <c r="F111" s="22">
        <f t="shared" si="12"/>
        <v>300000</v>
      </c>
    </row>
    <row r="112" spans="1:7" s="5" customFormat="1">
      <c r="A112" s="82" t="s">
        <v>103</v>
      </c>
      <c r="B112" s="35" t="s">
        <v>1</v>
      </c>
      <c r="C112" s="17">
        <v>2100000</v>
      </c>
      <c r="D112" s="17">
        <v>2100000</v>
      </c>
      <c r="E112" s="17">
        <v>2088000</v>
      </c>
      <c r="F112" s="22">
        <f t="shared" si="12"/>
        <v>6288000</v>
      </c>
      <c r="G112" s="25">
        <f>F112-C112-D112-E112</f>
        <v>0</v>
      </c>
    </row>
    <row r="113" spans="1:7">
      <c r="A113" s="88"/>
      <c r="B113" s="35" t="s">
        <v>0</v>
      </c>
      <c r="C113" s="17">
        <v>573600</v>
      </c>
      <c r="D113" s="17"/>
      <c r="E113" s="17"/>
      <c r="F113" s="22">
        <f t="shared" si="12"/>
        <v>573600</v>
      </c>
    </row>
    <row r="114" spans="1:7" ht="35.25" customHeight="1">
      <c r="A114" s="252" t="s">
        <v>162</v>
      </c>
      <c r="B114" s="63" t="s">
        <v>1</v>
      </c>
      <c r="C114" s="15">
        <v>50000</v>
      </c>
      <c r="D114" s="15">
        <v>0</v>
      </c>
      <c r="E114" s="15">
        <v>0</v>
      </c>
      <c r="F114" s="22">
        <f t="shared" ref="F114:F115" si="14">SUM(C114:E114)</f>
        <v>50000</v>
      </c>
      <c r="G114" s="25">
        <f>F114-C114-D114-E114</f>
        <v>0</v>
      </c>
    </row>
    <row r="115" spans="1:7" s="5" customFormat="1" ht="35.25" customHeight="1">
      <c r="A115" s="253"/>
      <c r="B115" s="63" t="s">
        <v>0</v>
      </c>
      <c r="C115" s="15">
        <v>0</v>
      </c>
      <c r="D115" s="15">
        <v>0</v>
      </c>
      <c r="E115" s="15">
        <v>0</v>
      </c>
      <c r="F115" s="22">
        <f t="shared" si="14"/>
        <v>0</v>
      </c>
      <c r="G115" s="19"/>
    </row>
    <row r="116" spans="1:7">
      <c r="A116" s="82" t="s">
        <v>251</v>
      </c>
      <c r="B116" s="35" t="s">
        <v>1</v>
      </c>
      <c r="C116" s="17">
        <v>90000</v>
      </c>
      <c r="D116" s="17">
        <v>0</v>
      </c>
      <c r="E116" s="17">
        <v>0</v>
      </c>
      <c r="F116" s="22">
        <f t="shared" si="12"/>
        <v>90000</v>
      </c>
      <c r="G116" s="25">
        <f>F116-C116-D116-E116</f>
        <v>0</v>
      </c>
    </row>
    <row r="117" spans="1:7">
      <c r="A117" s="83" t="s">
        <v>2</v>
      </c>
      <c r="B117" s="35" t="s">
        <v>0</v>
      </c>
      <c r="C117" s="17">
        <v>0</v>
      </c>
      <c r="D117" s="17"/>
      <c r="E117" s="17"/>
      <c r="F117" s="22">
        <f t="shared" si="12"/>
        <v>0</v>
      </c>
    </row>
    <row r="118" spans="1:7">
      <c r="A118" s="81" t="s">
        <v>102</v>
      </c>
      <c r="B118" s="35" t="s">
        <v>1</v>
      </c>
      <c r="C118" s="17">
        <v>0</v>
      </c>
      <c r="D118" s="17">
        <v>0</v>
      </c>
      <c r="E118" s="17">
        <v>99000</v>
      </c>
      <c r="F118" s="22">
        <f t="shared" si="12"/>
        <v>99000</v>
      </c>
      <c r="G118" s="25">
        <f>F118-C118-D118-E118</f>
        <v>0</v>
      </c>
    </row>
    <row r="119" spans="1:7">
      <c r="A119" s="84" t="s">
        <v>58</v>
      </c>
      <c r="B119" s="35" t="s">
        <v>0</v>
      </c>
      <c r="C119" s="17">
        <v>0</v>
      </c>
      <c r="D119" s="17"/>
      <c r="E119" s="17">
        <v>0</v>
      </c>
      <c r="F119" s="22">
        <f t="shared" si="12"/>
        <v>0</v>
      </c>
    </row>
    <row r="120" spans="1:7">
      <c r="A120" s="81" t="s">
        <v>101</v>
      </c>
      <c r="B120" s="35" t="s">
        <v>1</v>
      </c>
      <c r="C120" s="17">
        <v>51600</v>
      </c>
      <c r="D120" s="17">
        <v>0</v>
      </c>
      <c r="E120" s="17">
        <v>0</v>
      </c>
      <c r="F120" s="22">
        <f t="shared" si="12"/>
        <v>51600</v>
      </c>
      <c r="G120" s="25">
        <f>F120-C120-D120-E120</f>
        <v>0</v>
      </c>
    </row>
    <row r="121" spans="1:7">
      <c r="A121" s="84" t="s">
        <v>58</v>
      </c>
      <c r="B121" s="35" t="s">
        <v>0</v>
      </c>
      <c r="C121" s="17">
        <v>0</v>
      </c>
      <c r="D121" s="17"/>
      <c r="E121" s="17"/>
      <c r="F121" s="22">
        <f t="shared" si="12"/>
        <v>0</v>
      </c>
    </row>
    <row r="122" spans="1:7">
      <c r="A122" s="245" t="s">
        <v>108</v>
      </c>
      <c r="B122" s="3" t="s">
        <v>1</v>
      </c>
      <c r="C122" s="58">
        <f>SUM(C8+C42)</f>
        <v>30188178</v>
      </c>
      <c r="D122" s="58">
        <f>SUM(D8+D42)</f>
        <v>25793600</v>
      </c>
      <c r="E122" s="58">
        <f>SUM(E8+E42)</f>
        <v>17238600</v>
      </c>
      <c r="F122" s="22">
        <f>SUM(C122:E122)</f>
        <v>73220378</v>
      </c>
    </row>
    <row r="123" spans="1:7" ht="21.75" customHeight="1">
      <c r="A123" s="246"/>
      <c r="B123" s="3" t="s">
        <v>0</v>
      </c>
      <c r="C123" s="58">
        <f>SUM(C9+C43)</f>
        <v>2991006</v>
      </c>
      <c r="D123" s="58"/>
      <c r="E123" s="58"/>
      <c r="F123" s="22">
        <f t="shared" si="12"/>
        <v>2991006</v>
      </c>
    </row>
    <row r="124" spans="1:7" ht="18" customHeight="1">
      <c r="A124" s="1"/>
      <c r="B124" s="1"/>
    </row>
    <row r="125" spans="1:7" ht="38.25" customHeight="1">
      <c r="A125" s="2" t="s">
        <v>58</v>
      </c>
      <c r="B125" s="1"/>
      <c r="C125" t="s">
        <v>58</v>
      </c>
    </row>
    <row r="126" spans="1:7">
      <c r="E126" t="s">
        <v>163</v>
      </c>
      <c r="F126" s="20">
        <f>F8+F42</f>
        <v>73220378</v>
      </c>
    </row>
    <row r="128" spans="1:7">
      <c r="D128" t="s">
        <v>58</v>
      </c>
    </row>
  </sheetData>
  <mergeCells count="7">
    <mergeCell ref="A1:C1"/>
    <mergeCell ref="A122:A123"/>
    <mergeCell ref="E5:E6"/>
    <mergeCell ref="A5:A6"/>
    <mergeCell ref="C5:C6"/>
    <mergeCell ref="D5:D6"/>
    <mergeCell ref="A114:A115"/>
  </mergeCells>
  <printOptions horizontalCentered="1"/>
  <pageMargins left="0.35433070866141736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C1:H33"/>
  <sheetViews>
    <sheetView topLeftCell="C1" workbookViewId="0">
      <selection activeCell="K11" sqref="K11"/>
    </sheetView>
  </sheetViews>
  <sheetFormatPr defaultColWidth="9" defaultRowHeight="27.75"/>
  <cols>
    <col min="1" max="2" width="9" style="89"/>
    <col min="3" max="3" width="42.375" style="89" customWidth="1"/>
    <col min="4" max="4" width="19.375" style="89" customWidth="1"/>
    <col min="5" max="5" width="21.75" style="89" customWidth="1"/>
    <col min="6" max="6" width="9" style="89"/>
    <col min="7" max="7" width="14.75" style="89" bestFit="1" customWidth="1"/>
    <col min="8" max="16384" width="9" style="89"/>
  </cols>
  <sheetData>
    <row r="1" spans="3:8">
      <c r="D1" s="254" t="s">
        <v>105</v>
      </c>
      <c r="E1" s="254"/>
      <c r="F1" s="148"/>
    </row>
    <row r="2" spans="3:8" s="101" customFormat="1">
      <c r="C2" s="98" t="s">
        <v>104</v>
      </c>
      <c r="D2" s="99" t="s">
        <v>106</v>
      </c>
      <c r="E2" s="99" t="s">
        <v>25</v>
      </c>
      <c r="G2" s="100" t="s">
        <v>197</v>
      </c>
      <c r="H2" s="100" t="s">
        <v>26</v>
      </c>
    </row>
    <row r="3" spans="3:8">
      <c r="C3" s="89" t="s">
        <v>175</v>
      </c>
      <c r="D3" s="91">
        <f>50900+3898330</f>
        <v>3949230</v>
      </c>
      <c r="E3" s="91">
        <f>ปกครอง!G8</f>
        <v>6221720</v>
      </c>
      <c r="G3" s="90">
        <f>D3-10000-171710</f>
        <v>3767520</v>
      </c>
      <c r="H3" s="90">
        <f>E3-G3</f>
        <v>2454200</v>
      </c>
    </row>
    <row r="4" spans="3:8">
      <c r="C4" s="89" t="s">
        <v>176</v>
      </c>
      <c r="D4" s="91">
        <f>9800+219080+352000+3880560+108500</f>
        <v>4569940</v>
      </c>
      <c r="E4" s="103">
        <f>ปกครอง!G58</f>
        <v>2120700</v>
      </c>
      <c r="G4" s="90">
        <f>D4</f>
        <v>4569940</v>
      </c>
      <c r="H4" s="90">
        <f t="shared" ref="H4:H24" si="0">E4-G4</f>
        <v>-2449240</v>
      </c>
    </row>
    <row r="5" spans="3:8">
      <c r="C5" s="89" t="s">
        <v>177</v>
      </c>
      <c r="D5" s="91">
        <f>1300+1043700</f>
        <v>1045000</v>
      </c>
      <c r="E5" s="103">
        <f>ทะเบียน!G8</f>
        <v>2179390</v>
      </c>
      <c r="G5" s="90">
        <f>D5-100000-30000</f>
        <v>915000</v>
      </c>
      <c r="H5" s="90">
        <f t="shared" si="0"/>
        <v>1264390</v>
      </c>
    </row>
    <row r="6" spans="3:8">
      <c r="C6" s="89" t="s">
        <v>178</v>
      </c>
      <c r="D6" s="91">
        <f>98600+597900</f>
        <v>696500</v>
      </c>
      <c r="E6" s="103">
        <f>คลัง!F8</f>
        <v>739215</v>
      </c>
      <c r="G6" s="90">
        <f>D6-5000-33100</f>
        <v>658400</v>
      </c>
      <c r="H6" s="90">
        <f t="shared" si="0"/>
        <v>80815</v>
      </c>
    </row>
    <row r="7" spans="3:8">
      <c r="C7" s="89" t="s">
        <v>179</v>
      </c>
      <c r="D7" s="91">
        <f>9800+462600</f>
        <v>472400</v>
      </c>
      <c r="E7" s="103">
        <f>รายได้!F8</f>
        <v>672492</v>
      </c>
      <c r="G7" s="90">
        <f>D7-10000-58000</f>
        <v>404400</v>
      </c>
      <c r="H7" s="90">
        <f t="shared" si="0"/>
        <v>268092</v>
      </c>
    </row>
    <row r="8" spans="3:8">
      <c r="C8" s="89" t="s">
        <v>180</v>
      </c>
      <c r="D8" s="91">
        <f>192340+11549260</f>
        <v>11741600</v>
      </c>
      <c r="E8" s="103">
        <f>รักษา!F8</f>
        <v>16255200</v>
      </c>
      <c r="G8" s="90">
        <f>D8-4000-885100-13000-7800-8918400</f>
        <v>1913300</v>
      </c>
      <c r="H8" s="90">
        <f t="shared" si="0"/>
        <v>14341900</v>
      </c>
    </row>
    <row r="9" spans="3:8">
      <c r="C9" s="89" t="s">
        <v>181</v>
      </c>
      <c r="D9" s="91">
        <f>769360+4316130</f>
        <v>5085490</v>
      </c>
      <c r="E9" s="103">
        <f>รักษา!F40</f>
        <v>718400</v>
      </c>
      <c r="G9" s="90">
        <f>D9</f>
        <v>5085490</v>
      </c>
      <c r="H9" s="90">
        <f t="shared" si="0"/>
        <v>-4367090</v>
      </c>
    </row>
    <row r="10" spans="3:8">
      <c r="C10" s="89" t="s">
        <v>182</v>
      </c>
      <c r="D10" s="91">
        <f>1096900+9038810+173100+50000</f>
        <v>10358810</v>
      </c>
      <c r="E10" s="103">
        <f>รักษา!F61</f>
        <v>4954698.7699999996</v>
      </c>
      <c r="G10" s="90">
        <f>D10</f>
        <v>10358810</v>
      </c>
      <c r="H10" s="90">
        <f t="shared" si="0"/>
        <v>-5404111.2300000004</v>
      </c>
    </row>
    <row r="11" spans="3:8">
      <c r="C11" s="89" t="s">
        <v>183</v>
      </c>
      <c r="D11" s="91">
        <f>354700+4444800+483500</f>
        <v>5283000</v>
      </c>
      <c r="E11" s="103">
        <f>ปลูก!F8</f>
        <v>5416004</v>
      </c>
      <c r="G11" s="90">
        <f>D11-317600-22000-7200-1212000</f>
        <v>3724200</v>
      </c>
      <c r="H11" s="90">
        <f t="shared" si="0"/>
        <v>1691804</v>
      </c>
    </row>
    <row r="12" spans="3:8">
      <c r="C12" s="89" t="s">
        <v>184</v>
      </c>
      <c r="D12" s="91">
        <v>1052660</v>
      </c>
      <c r="E12" s="103">
        <f>เทศกิจ!F8</f>
        <v>4577980</v>
      </c>
      <c r="G12" s="90">
        <f>D12-4600-161500</f>
        <v>886560</v>
      </c>
      <c r="H12" s="90">
        <f t="shared" si="0"/>
        <v>3691420</v>
      </c>
    </row>
    <row r="13" spans="3:8">
      <c r="C13" s="89" t="s">
        <v>185</v>
      </c>
      <c r="D13" s="91">
        <f>127400+1514240</f>
        <v>1641640</v>
      </c>
      <c r="E13" s="103">
        <f>เทศกิจ!F32</f>
        <v>216900</v>
      </c>
      <c r="G13" s="90">
        <f>D13</f>
        <v>1641640</v>
      </c>
      <c r="H13" s="90">
        <f t="shared" si="0"/>
        <v>-1424740</v>
      </c>
    </row>
    <row r="14" spans="3:8">
      <c r="C14" s="89" t="s">
        <v>186</v>
      </c>
      <c r="D14" s="91">
        <f>14160+1150280</f>
        <v>1164440</v>
      </c>
      <c r="E14" s="103">
        <f>โยธา!F9</f>
        <v>1544840</v>
      </c>
      <c r="G14" s="90">
        <f>D14-3000-7000-7000-65300-523500</f>
        <v>558640</v>
      </c>
      <c r="H14" s="90">
        <f t="shared" si="0"/>
        <v>986200</v>
      </c>
    </row>
    <row r="15" spans="3:8">
      <c r="C15" s="89" t="s">
        <v>187</v>
      </c>
      <c r="D15" s="91">
        <f>8660+3256080</f>
        <v>3264740</v>
      </c>
      <c r="E15" s="103">
        <f>โยธา!F32</f>
        <v>0</v>
      </c>
      <c r="G15" s="90">
        <f>D15</f>
        <v>3264740</v>
      </c>
      <c r="H15" s="90">
        <f t="shared" si="0"/>
        <v>-3264740</v>
      </c>
    </row>
    <row r="16" spans="3:8">
      <c r="C16" s="89" t="s">
        <v>188</v>
      </c>
      <c r="D16" s="91">
        <f>32180+2039240+2500000</f>
        <v>4571420</v>
      </c>
      <c r="E16" s="103">
        <f>โยธา!F37</f>
        <v>6419380</v>
      </c>
      <c r="G16" s="90">
        <f>D16</f>
        <v>4571420</v>
      </c>
      <c r="H16" s="90">
        <f t="shared" si="0"/>
        <v>1847960</v>
      </c>
    </row>
    <row r="17" spans="3:8">
      <c r="C17" s="89" t="s">
        <v>189</v>
      </c>
      <c r="D17" s="91">
        <f>222600+5401000</f>
        <v>5623600</v>
      </c>
      <c r="E17" s="91">
        <f>ระบายน้ำ!F8</f>
        <v>3830820</v>
      </c>
      <c r="G17" s="90">
        <f>D17-22000-14800-142300-463000</f>
        <v>4981500</v>
      </c>
      <c r="H17" s="90">
        <f t="shared" si="0"/>
        <v>-1150680</v>
      </c>
    </row>
    <row r="18" spans="3:8">
      <c r="C18" s="89" t="s">
        <v>190</v>
      </c>
      <c r="D18" s="91">
        <f>89900+488000</f>
        <v>577900</v>
      </c>
      <c r="E18" s="91">
        <f>พัฒนา!F9</f>
        <v>3103488</v>
      </c>
      <c r="G18" s="90">
        <f>D18-5000-21400-60000</f>
        <v>491500</v>
      </c>
      <c r="H18" s="90">
        <f t="shared" si="0"/>
        <v>2611988</v>
      </c>
    </row>
    <row r="19" spans="3:8">
      <c r="C19" s="89" t="s">
        <v>191</v>
      </c>
      <c r="D19" s="91">
        <f>203700+9509700+10112600+219600</f>
        <v>20045600</v>
      </c>
      <c r="E19" s="91">
        <f>พัฒนา!F49</f>
        <v>56914953.549999997</v>
      </c>
      <c r="G19" s="90">
        <f>D19</f>
        <v>20045600</v>
      </c>
      <c r="H19" s="90">
        <f t="shared" si="0"/>
        <v>36869353.549999997</v>
      </c>
    </row>
    <row r="20" spans="3:8">
      <c r="C20" s="89" t="s">
        <v>192</v>
      </c>
      <c r="D20" s="91">
        <f>23500+263940</f>
        <v>287440</v>
      </c>
      <c r="E20" s="91">
        <f>อนามัย!F8</f>
        <v>1403394</v>
      </c>
      <c r="G20" s="90">
        <f>D20-1500-135000</f>
        <v>150940</v>
      </c>
      <c r="H20" s="90">
        <f t="shared" si="0"/>
        <v>1252454</v>
      </c>
    </row>
    <row r="21" spans="3:8">
      <c r="C21" s="89" t="s">
        <v>193</v>
      </c>
      <c r="D21" s="91">
        <f>10380+806630+165100+80900+30000</f>
        <v>1093010</v>
      </c>
      <c r="E21" s="91">
        <f>อนามัย!F44</f>
        <v>165100</v>
      </c>
      <c r="G21" s="90">
        <f>D21</f>
        <v>1093010</v>
      </c>
      <c r="H21" s="90">
        <f t="shared" si="0"/>
        <v>-927910</v>
      </c>
    </row>
    <row r="22" spans="3:8">
      <c r="C22" s="89" t="s">
        <v>194</v>
      </c>
      <c r="D22" s="91">
        <f>6920+24330+570200</f>
        <v>601450</v>
      </c>
      <c r="E22" s="91">
        <f>อนามัย!F57</f>
        <v>1880140</v>
      </c>
      <c r="G22" s="90">
        <f>D22</f>
        <v>601450</v>
      </c>
      <c r="H22" s="90">
        <f t="shared" si="0"/>
        <v>1278690</v>
      </c>
    </row>
    <row r="23" spans="3:8">
      <c r="C23" s="89" t="s">
        <v>195</v>
      </c>
      <c r="D23" s="91">
        <f>40040+352700</f>
        <v>392740</v>
      </c>
      <c r="E23" s="91">
        <f>ศึกษา!F8</f>
        <v>1333084</v>
      </c>
      <c r="G23" s="90">
        <f>D23-20800-84500</f>
        <v>287440</v>
      </c>
      <c r="H23" s="90">
        <f t="shared" si="0"/>
        <v>1045644</v>
      </c>
    </row>
    <row r="24" spans="3:8">
      <c r="C24" s="89" t="s">
        <v>196</v>
      </c>
      <c r="D24" s="92">
        <f>149760+10260000+18894400+2775800+6473200</f>
        <v>38553160</v>
      </c>
      <c r="E24" s="92">
        <f>ศึกษา!F42</f>
        <v>71887294</v>
      </c>
      <c r="G24" s="90">
        <f>D24-18000</f>
        <v>38535160</v>
      </c>
      <c r="H24" s="90">
        <f t="shared" si="0"/>
        <v>33352134</v>
      </c>
    </row>
    <row r="25" spans="3:8">
      <c r="D25" s="91">
        <f>SUM(D3:D24)</f>
        <v>122071770</v>
      </c>
      <c r="E25" s="91">
        <f>SUM(E3:E24)</f>
        <v>192555193.31999999</v>
      </c>
    </row>
    <row r="26" spans="3:8">
      <c r="D26" s="91">
        <f>75202310+18894400+50518860-(9830000+12713800)</f>
        <v>122071770</v>
      </c>
      <c r="E26" s="91"/>
    </row>
    <row r="27" spans="3:8">
      <c r="C27" s="93" t="s">
        <v>26</v>
      </c>
      <c r="D27" s="90">
        <f>D25-D26</f>
        <v>0</v>
      </c>
    </row>
    <row r="28" spans="3:8">
      <c r="C28" s="94" t="s">
        <v>107</v>
      </c>
      <c r="D28" s="104">
        <v>161100</v>
      </c>
    </row>
    <row r="29" spans="3:8">
      <c r="C29" s="95"/>
      <c r="D29" s="105">
        <v>1452500</v>
      </c>
    </row>
    <row r="30" spans="3:8">
      <c r="C30" s="95"/>
      <c r="D30" s="105">
        <v>100800</v>
      </c>
    </row>
    <row r="31" spans="3:8">
      <c r="C31" s="95"/>
      <c r="D31" s="97">
        <v>11850710</v>
      </c>
    </row>
    <row r="32" spans="3:8">
      <c r="C32" s="96"/>
      <c r="D32" s="97">
        <f>SUM(D28:D31)</f>
        <v>13565110</v>
      </c>
      <c r="E32" s="90">
        <f>D25-D32</f>
        <v>108506660</v>
      </c>
    </row>
    <row r="33" spans="4:5">
      <c r="D33" s="93" t="s">
        <v>26</v>
      </c>
      <c r="E33" s="90">
        <f>E25-E32</f>
        <v>84048533.319999993</v>
      </c>
    </row>
  </sheetData>
  <mergeCells count="1">
    <mergeCell ref="D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workbookViewId="0">
      <selection activeCell="B10" sqref="B10"/>
    </sheetView>
  </sheetViews>
  <sheetFormatPr defaultColWidth="9" defaultRowHeight="24"/>
  <cols>
    <col min="1" max="1" width="34.125" style="18" customWidth="1"/>
    <col min="2" max="2" width="13.75" style="20" customWidth="1"/>
    <col min="3" max="14" width="13.125" style="18" customWidth="1"/>
    <col min="15" max="16384" width="9" style="18"/>
  </cols>
  <sheetData>
    <row r="1" spans="1:14">
      <c r="A1" s="258" t="s">
        <v>110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>
      <c r="A2" s="258" t="s">
        <v>125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>
      <c r="A3" s="113" t="s">
        <v>124</v>
      </c>
      <c r="N3" s="112" t="s">
        <v>24</v>
      </c>
    </row>
    <row r="4" spans="1:14">
      <c r="A4" s="248" t="s">
        <v>23</v>
      </c>
      <c r="B4" s="256" t="s">
        <v>119</v>
      </c>
      <c r="C4" s="255" t="s">
        <v>125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>
      <c r="A5" s="249"/>
      <c r="B5" s="257"/>
      <c r="C5" s="124">
        <v>23651</v>
      </c>
      <c r="D5" s="124">
        <v>23682</v>
      </c>
      <c r="E5" s="124">
        <v>23712</v>
      </c>
      <c r="F5" s="124">
        <v>23743</v>
      </c>
      <c r="G5" s="124">
        <v>23774</v>
      </c>
      <c r="H5" s="124">
        <v>23802</v>
      </c>
      <c r="I5" s="124">
        <v>23833</v>
      </c>
      <c r="J5" s="124">
        <v>23863</v>
      </c>
      <c r="K5" s="124">
        <v>23894</v>
      </c>
      <c r="L5" s="124">
        <v>23924</v>
      </c>
      <c r="M5" s="124">
        <v>23955</v>
      </c>
      <c r="N5" s="124">
        <v>23986</v>
      </c>
    </row>
    <row r="6" spans="1:14">
      <c r="A6" s="108" t="s">
        <v>111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>
      <c r="A7" s="116" t="s">
        <v>113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s="114" customFormat="1">
      <c r="A8" s="118" t="s">
        <v>18</v>
      </c>
      <c r="B8" s="145">
        <v>58900</v>
      </c>
      <c r="C8" s="145">
        <v>29450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29450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</row>
    <row r="9" spans="1:14" s="114" customFormat="1">
      <c r="A9" s="118" t="s">
        <v>15</v>
      </c>
      <c r="B9" s="146">
        <v>4800</v>
      </c>
      <c r="C9" s="146">
        <v>400</v>
      </c>
      <c r="D9" s="146">
        <v>400</v>
      </c>
      <c r="E9" s="146">
        <v>400</v>
      </c>
      <c r="F9" s="146">
        <v>400</v>
      </c>
      <c r="G9" s="146">
        <v>400</v>
      </c>
      <c r="H9" s="146">
        <v>400</v>
      </c>
      <c r="I9" s="146">
        <v>400</v>
      </c>
      <c r="J9" s="146">
        <v>400</v>
      </c>
      <c r="K9" s="146">
        <v>400</v>
      </c>
      <c r="L9" s="146">
        <v>400</v>
      </c>
      <c r="M9" s="146">
        <v>400</v>
      </c>
      <c r="N9" s="146">
        <v>400</v>
      </c>
    </row>
    <row r="10" spans="1:14" s="114" customFormat="1">
      <c r="A10" s="118" t="s">
        <v>13</v>
      </c>
      <c r="B10" s="145">
        <v>1250000</v>
      </c>
      <c r="C10" s="145">
        <v>104166.67</v>
      </c>
      <c r="D10" s="145">
        <v>104166.67</v>
      </c>
      <c r="E10" s="145">
        <v>104166.67</v>
      </c>
      <c r="F10" s="145">
        <v>104166.67</v>
      </c>
      <c r="G10" s="145">
        <v>104166.67</v>
      </c>
      <c r="H10" s="145">
        <v>104166.67</v>
      </c>
      <c r="I10" s="145">
        <v>104166.67</v>
      </c>
      <c r="J10" s="145">
        <v>104166.67</v>
      </c>
      <c r="K10" s="145">
        <v>104166.67</v>
      </c>
      <c r="L10" s="145">
        <v>104166.67</v>
      </c>
      <c r="M10" s="145">
        <v>104166.67</v>
      </c>
      <c r="N10" s="145">
        <v>104166.63</v>
      </c>
    </row>
    <row r="11" spans="1:14" s="114" customFormat="1" ht="48">
      <c r="A11" s="127" t="s">
        <v>12</v>
      </c>
      <c r="B11" s="147">
        <v>1236000</v>
      </c>
      <c r="C11" s="147">
        <v>103000</v>
      </c>
      <c r="D11" s="147">
        <v>103000</v>
      </c>
      <c r="E11" s="147">
        <v>103000</v>
      </c>
      <c r="F11" s="147">
        <v>103000</v>
      </c>
      <c r="G11" s="147">
        <v>103000</v>
      </c>
      <c r="H11" s="147">
        <v>103000</v>
      </c>
      <c r="I11" s="147">
        <v>103000</v>
      </c>
      <c r="J11" s="147">
        <v>103000</v>
      </c>
      <c r="K11" s="147">
        <v>103000</v>
      </c>
      <c r="L11" s="147">
        <v>103000</v>
      </c>
      <c r="M11" s="147">
        <v>103000</v>
      </c>
      <c r="N11" s="147">
        <v>103000</v>
      </c>
    </row>
    <row r="12" spans="1:14" s="114" customFormat="1">
      <c r="A12" s="118" t="s">
        <v>11</v>
      </c>
      <c r="B12" s="146">
        <v>180000</v>
      </c>
      <c r="C12" s="146">
        <v>15000</v>
      </c>
      <c r="D12" s="146">
        <v>15000</v>
      </c>
      <c r="E12" s="146">
        <v>15000</v>
      </c>
      <c r="F12" s="146">
        <v>15000</v>
      </c>
      <c r="G12" s="146">
        <v>15000</v>
      </c>
      <c r="H12" s="146">
        <v>15000</v>
      </c>
      <c r="I12" s="146">
        <v>15000</v>
      </c>
      <c r="J12" s="146">
        <v>15000</v>
      </c>
      <c r="K12" s="146">
        <v>15000</v>
      </c>
      <c r="L12" s="146">
        <v>15000</v>
      </c>
      <c r="M12" s="146">
        <v>15000</v>
      </c>
      <c r="N12" s="146">
        <v>15000</v>
      </c>
    </row>
    <row r="13" spans="1:14">
      <c r="A13" s="108" t="s">
        <v>112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>
      <c r="A14" s="116" t="s">
        <v>113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s="114" customFormat="1">
      <c r="A15" s="115" t="s">
        <v>30</v>
      </c>
      <c r="B15" s="121">
        <v>143600</v>
      </c>
      <c r="C15" s="121">
        <v>11960</v>
      </c>
      <c r="D15" s="121">
        <v>11960</v>
      </c>
      <c r="E15" s="121">
        <v>11960</v>
      </c>
      <c r="F15" s="121">
        <v>11960</v>
      </c>
      <c r="G15" s="121">
        <v>11960</v>
      </c>
      <c r="H15" s="121">
        <v>11960</v>
      </c>
      <c r="I15" s="121">
        <v>11960</v>
      </c>
      <c r="J15" s="121">
        <v>11960</v>
      </c>
      <c r="K15" s="121">
        <v>11960</v>
      </c>
      <c r="L15" s="121">
        <v>11960</v>
      </c>
      <c r="M15" s="121">
        <v>11960</v>
      </c>
      <c r="N15" s="121">
        <v>11960</v>
      </c>
    </row>
    <row r="16" spans="1:14">
      <c r="A16" s="108" t="s">
        <v>114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>
      <c r="A17" s="116" t="s">
        <v>113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>
      <c r="A18" s="109" t="s">
        <v>49</v>
      </c>
      <c r="B18" s="117">
        <v>3212000</v>
      </c>
      <c r="C18" s="117">
        <v>3212000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</row>
    <row r="19" spans="1:14">
      <c r="A19" s="108" t="s">
        <v>115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>
      <c r="A20" s="116" t="s">
        <v>113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</row>
    <row r="21" spans="1:14" ht="48">
      <c r="A21" s="125" t="s">
        <v>40</v>
      </c>
      <c r="B21" s="117">
        <v>856600</v>
      </c>
      <c r="C21" s="117">
        <v>71383.33</v>
      </c>
      <c r="D21" s="117">
        <v>71383.33</v>
      </c>
      <c r="E21" s="117">
        <v>71383.33</v>
      </c>
      <c r="F21" s="117">
        <v>71383.33</v>
      </c>
      <c r="G21" s="117">
        <v>71383.33</v>
      </c>
      <c r="H21" s="117">
        <v>71383.33</v>
      </c>
      <c r="I21" s="117">
        <v>71383.33</v>
      </c>
      <c r="J21" s="117">
        <v>71383.33</v>
      </c>
      <c r="K21" s="117">
        <v>71383.33</v>
      </c>
      <c r="L21" s="117">
        <v>71383.33</v>
      </c>
      <c r="M21" s="117">
        <v>71383.33</v>
      </c>
      <c r="N21" s="117">
        <v>71383.37</v>
      </c>
    </row>
    <row r="22" spans="1:14">
      <c r="A22" s="108" t="s">
        <v>116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  <row r="23" spans="1:14">
      <c r="A23" s="116" t="s">
        <v>113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1:14" ht="96">
      <c r="A24" s="125" t="s">
        <v>120</v>
      </c>
      <c r="B24" s="117">
        <v>180000</v>
      </c>
      <c r="C24" s="120">
        <v>15000</v>
      </c>
      <c r="D24" s="120">
        <v>15000</v>
      </c>
      <c r="E24" s="120">
        <v>15000</v>
      </c>
      <c r="F24" s="120">
        <v>15000</v>
      </c>
      <c r="G24" s="120">
        <v>15000</v>
      </c>
      <c r="H24" s="120">
        <v>15000</v>
      </c>
      <c r="I24" s="120">
        <v>15000</v>
      </c>
      <c r="J24" s="120">
        <v>15000</v>
      </c>
      <c r="K24" s="120">
        <v>15000</v>
      </c>
      <c r="L24" s="120">
        <v>15000</v>
      </c>
      <c r="M24" s="120">
        <v>15000</v>
      </c>
      <c r="N24" s="120">
        <v>15000</v>
      </c>
    </row>
    <row r="25" spans="1:14">
      <c r="A25" s="108" t="s">
        <v>117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26" spans="1:14">
      <c r="A26" s="116" t="s">
        <v>113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</row>
    <row r="27" spans="1:14" ht="72">
      <c r="A27" s="126" t="s">
        <v>121</v>
      </c>
      <c r="B27" s="117">
        <v>194900</v>
      </c>
      <c r="C27" s="117">
        <v>16240</v>
      </c>
      <c r="D27" s="117">
        <v>16240</v>
      </c>
      <c r="E27" s="117">
        <v>16240</v>
      </c>
      <c r="F27" s="117">
        <v>16240</v>
      </c>
      <c r="G27" s="117">
        <v>16240</v>
      </c>
      <c r="H27" s="117">
        <v>16240</v>
      </c>
      <c r="I27" s="117">
        <v>16240</v>
      </c>
      <c r="J27" s="117">
        <v>16240</v>
      </c>
      <c r="K27" s="117">
        <v>16240</v>
      </c>
      <c r="L27" s="117">
        <v>16240</v>
      </c>
      <c r="M27" s="117">
        <v>16240</v>
      </c>
      <c r="N27" s="117">
        <v>16240</v>
      </c>
    </row>
    <row r="28" spans="1:14" ht="96">
      <c r="A28" s="126" t="s">
        <v>123</v>
      </c>
      <c r="B28" s="117">
        <v>194900</v>
      </c>
      <c r="C28" s="117">
        <v>16240</v>
      </c>
      <c r="D28" s="117">
        <v>16240</v>
      </c>
      <c r="E28" s="117">
        <v>16240</v>
      </c>
      <c r="F28" s="117">
        <v>16240</v>
      </c>
      <c r="G28" s="117">
        <v>16240</v>
      </c>
      <c r="H28" s="117">
        <v>16240</v>
      </c>
      <c r="I28" s="117">
        <v>16240</v>
      </c>
      <c r="J28" s="117">
        <v>16240</v>
      </c>
      <c r="K28" s="117">
        <v>16240</v>
      </c>
      <c r="L28" s="117">
        <v>16240</v>
      </c>
      <c r="M28" s="117">
        <v>16240</v>
      </c>
      <c r="N28" s="117">
        <v>16240</v>
      </c>
    </row>
    <row r="29" spans="1:14" ht="72">
      <c r="A29" s="126" t="s">
        <v>122</v>
      </c>
      <c r="B29" s="117">
        <v>325700</v>
      </c>
      <c r="C29" s="117">
        <f>16240+10900</f>
        <v>27140</v>
      </c>
      <c r="D29" s="117">
        <f t="shared" ref="D29:N29" si="0">16240+10900</f>
        <v>27140</v>
      </c>
      <c r="E29" s="117">
        <f t="shared" si="0"/>
        <v>27140</v>
      </c>
      <c r="F29" s="117">
        <f t="shared" si="0"/>
        <v>27140</v>
      </c>
      <c r="G29" s="117">
        <f t="shared" si="0"/>
        <v>27140</v>
      </c>
      <c r="H29" s="117">
        <f t="shared" si="0"/>
        <v>27140</v>
      </c>
      <c r="I29" s="117">
        <f t="shared" si="0"/>
        <v>27140</v>
      </c>
      <c r="J29" s="117">
        <f t="shared" si="0"/>
        <v>27140</v>
      </c>
      <c r="K29" s="117">
        <f t="shared" si="0"/>
        <v>27140</v>
      </c>
      <c r="L29" s="117">
        <f t="shared" si="0"/>
        <v>27140</v>
      </c>
      <c r="M29" s="117">
        <f t="shared" si="0"/>
        <v>27140</v>
      </c>
      <c r="N29" s="117">
        <f t="shared" si="0"/>
        <v>27140</v>
      </c>
    </row>
    <row r="30" spans="1:14">
      <c r="A30" s="108" t="s">
        <v>118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</row>
    <row r="31" spans="1:14">
      <c r="A31" s="116" t="s">
        <v>113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14" ht="48">
      <c r="A32" s="125" t="s">
        <v>89</v>
      </c>
      <c r="B32" s="117">
        <v>3444000</v>
      </c>
      <c r="C32" s="117">
        <v>287000</v>
      </c>
      <c r="D32" s="117">
        <v>287000</v>
      </c>
      <c r="E32" s="117">
        <v>287000</v>
      </c>
      <c r="F32" s="117">
        <v>287000</v>
      </c>
      <c r="G32" s="117">
        <v>287000</v>
      </c>
      <c r="H32" s="117">
        <v>287000</v>
      </c>
      <c r="I32" s="117">
        <v>287000</v>
      </c>
      <c r="J32" s="117">
        <v>287000</v>
      </c>
      <c r="K32" s="117">
        <v>287000</v>
      </c>
      <c r="L32" s="117">
        <v>287000</v>
      </c>
      <c r="M32" s="117">
        <v>287000</v>
      </c>
      <c r="N32" s="117">
        <v>287000</v>
      </c>
    </row>
    <row r="33" spans="1:14">
      <c r="A33" s="109" t="s">
        <v>78</v>
      </c>
      <c r="B33" s="117">
        <v>372400</v>
      </c>
      <c r="C33" s="117">
        <v>31000</v>
      </c>
      <c r="D33" s="117">
        <v>31000</v>
      </c>
      <c r="E33" s="117">
        <v>31000</v>
      </c>
      <c r="F33" s="117">
        <v>31000</v>
      </c>
      <c r="G33" s="117">
        <v>31000</v>
      </c>
      <c r="H33" s="117">
        <v>31000</v>
      </c>
      <c r="I33" s="117">
        <v>31000</v>
      </c>
      <c r="J33" s="117">
        <v>31000</v>
      </c>
      <c r="K33" s="117">
        <v>31000</v>
      </c>
      <c r="L33" s="117">
        <v>31000</v>
      </c>
      <c r="M33" s="117">
        <v>31000</v>
      </c>
      <c r="N33" s="117">
        <v>31000</v>
      </c>
    </row>
    <row r="34" spans="1:14" ht="48">
      <c r="A34" s="125" t="s">
        <v>88</v>
      </c>
      <c r="B34" s="117">
        <v>1795600</v>
      </c>
      <c r="C34" s="117">
        <v>149633.32999999999</v>
      </c>
      <c r="D34" s="117">
        <v>149633.32999999999</v>
      </c>
      <c r="E34" s="117">
        <v>149633.32999999999</v>
      </c>
      <c r="F34" s="117">
        <v>149633.32999999999</v>
      </c>
      <c r="G34" s="117">
        <v>149633.32999999999</v>
      </c>
      <c r="H34" s="117">
        <v>149633.32999999999</v>
      </c>
      <c r="I34" s="117">
        <v>149633.32999999999</v>
      </c>
      <c r="J34" s="117">
        <v>149633.32999999999</v>
      </c>
      <c r="K34" s="117">
        <v>149633.32999999999</v>
      </c>
      <c r="L34" s="117">
        <v>149633.32999999999</v>
      </c>
      <c r="M34" s="117">
        <v>149633.32999999999</v>
      </c>
      <c r="N34" s="117">
        <v>149633.37</v>
      </c>
    </row>
    <row r="35" spans="1:14">
      <c r="A35" s="3" t="s">
        <v>108</v>
      </c>
      <c r="B35" s="122">
        <f>SUM(B8:B34)</f>
        <v>13449400</v>
      </c>
      <c r="C35" s="122">
        <f t="shared" ref="C35:N35" si="1">SUM(C8:C34)</f>
        <v>4089613.33</v>
      </c>
      <c r="D35" s="122">
        <f t="shared" si="1"/>
        <v>848163.33</v>
      </c>
      <c r="E35" s="122">
        <f t="shared" si="1"/>
        <v>848163.33</v>
      </c>
      <c r="F35" s="122">
        <f t="shared" si="1"/>
        <v>848163.33</v>
      </c>
      <c r="G35" s="122">
        <f t="shared" si="1"/>
        <v>848163.33</v>
      </c>
      <c r="H35" s="122">
        <f t="shared" si="1"/>
        <v>848163.33</v>
      </c>
      <c r="I35" s="122">
        <f t="shared" si="1"/>
        <v>877613.33</v>
      </c>
      <c r="J35" s="122">
        <f t="shared" si="1"/>
        <v>848163.33</v>
      </c>
      <c r="K35" s="122">
        <f t="shared" si="1"/>
        <v>848163.33</v>
      </c>
      <c r="L35" s="122">
        <f t="shared" si="1"/>
        <v>848163.33</v>
      </c>
      <c r="M35" s="122">
        <f t="shared" si="1"/>
        <v>848163.33</v>
      </c>
      <c r="N35" s="122">
        <f t="shared" si="1"/>
        <v>848163.37</v>
      </c>
    </row>
    <row r="36" spans="1:14">
      <c r="B36" s="20" t="e">
        <f>B35-#REF!</f>
        <v>#REF!</v>
      </c>
    </row>
  </sheetData>
  <mergeCells count="5">
    <mergeCell ref="C4:N4"/>
    <mergeCell ref="B4:B5"/>
    <mergeCell ref="A4:A5"/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0"/>
  <sheetViews>
    <sheetView view="pageBreakPreview" zoomScale="80" zoomScaleSheetLayoutView="80" workbookViewId="0">
      <pane xSplit="3" ySplit="9" topLeftCell="D31" activePane="bottomRight" state="frozen"/>
      <selection pane="topRight" activeCell="C1" sqref="C1"/>
      <selection pane="bottomLeft" activeCell="A9" sqref="A9"/>
      <selection pane="bottomRight" activeCell="D29" sqref="D29"/>
    </sheetView>
  </sheetViews>
  <sheetFormatPr defaultRowHeight="24"/>
  <cols>
    <col min="1" max="1" width="64.625" customWidth="1"/>
    <col min="2" max="2" width="17" hidden="1" customWidth="1"/>
    <col min="3" max="3" width="9.375" customWidth="1"/>
    <col min="4" max="6" width="37.625" customWidth="1"/>
    <col min="7" max="7" width="17.375" style="20" customWidth="1"/>
    <col min="8" max="8" width="14.125" style="18" customWidth="1"/>
  </cols>
  <sheetData>
    <row r="1" spans="1:9">
      <c r="A1" s="247" t="s">
        <v>217</v>
      </c>
      <c r="B1" s="247"/>
      <c r="C1" s="247"/>
      <c r="D1" s="247"/>
      <c r="E1" s="13"/>
      <c r="F1" s="13"/>
    </row>
    <row r="2" spans="1:9">
      <c r="A2" s="130" t="s">
        <v>206</v>
      </c>
      <c r="B2" s="130"/>
      <c r="C2" s="13"/>
    </row>
    <row r="3" spans="1:9">
      <c r="A3" s="134" t="s">
        <v>134</v>
      </c>
      <c r="B3" s="134"/>
      <c r="C3" s="12"/>
    </row>
    <row r="4" spans="1:9">
      <c r="A4" s="12"/>
      <c r="B4" s="12"/>
      <c r="C4" s="12"/>
      <c r="D4" s="11" t="s">
        <v>24</v>
      </c>
      <c r="E4" s="11" t="s">
        <v>24</v>
      </c>
      <c r="F4" s="11" t="s">
        <v>24</v>
      </c>
    </row>
    <row r="5" spans="1:9">
      <c r="A5" s="250" t="s">
        <v>126</v>
      </c>
      <c r="B5" s="10" t="s">
        <v>218</v>
      </c>
      <c r="C5" s="10" t="s">
        <v>22</v>
      </c>
      <c r="D5" s="248" t="s">
        <v>255</v>
      </c>
      <c r="E5" s="248" t="s">
        <v>256</v>
      </c>
      <c r="F5" s="248" t="s">
        <v>257</v>
      </c>
    </row>
    <row r="6" spans="1:9">
      <c r="A6" s="251"/>
      <c r="B6" s="9" t="s">
        <v>219</v>
      </c>
      <c r="C6" s="9" t="s">
        <v>0</v>
      </c>
      <c r="D6" s="249"/>
      <c r="E6" s="249"/>
      <c r="F6" s="249"/>
      <c r="G6" s="26" t="s">
        <v>25</v>
      </c>
      <c r="H6" s="23" t="s">
        <v>26</v>
      </c>
    </row>
    <row r="7" spans="1:9">
      <c r="A7" s="107" t="s">
        <v>140</v>
      </c>
      <c r="B7" s="175"/>
      <c r="C7" s="141"/>
      <c r="D7" s="3"/>
      <c r="E7" s="3"/>
      <c r="F7" s="3"/>
      <c r="G7" s="26"/>
      <c r="H7" s="23"/>
    </row>
    <row r="8" spans="1:9">
      <c r="A8" s="40" t="s">
        <v>143</v>
      </c>
      <c r="B8" s="191" t="e">
        <f>SUM(#REF!+B10)</f>
        <v>#REF!</v>
      </c>
      <c r="C8" s="8" t="s">
        <v>1</v>
      </c>
      <c r="D8" s="57">
        <f>D10</f>
        <v>1772390</v>
      </c>
      <c r="E8" s="57">
        <f>E10</f>
        <v>241800</v>
      </c>
      <c r="F8" s="57">
        <f>F10</f>
        <v>165200</v>
      </c>
      <c r="G8" s="57">
        <f>SUM(F8+E8+D8)</f>
        <v>2179390</v>
      </c>
    </row>
    <row r="9" spans="1:9">
      <c r="A9" s="41"/>
      <c r="B9" s="41"/>
      <c r="C9" s="8" t="s">
        <v>0</v>
      </c>
      <c r="D9" s="57">
        <f>SUM(D11)</f>
        <v>362090</v>
      </c>
      <c r="E9" s="57">
        <f>SUM(E11)</f>
        <v>0</v>
      </c>
      <c r="F9" s="57">
        <f>SUM(F11)</f>
        <v>0</v>
      </c>
    </row>
    <row r="10" spans="1:9" s="4" customFormat="1">
      <c r="A10" s="29" t="s">
        <v>131</v>
      </c>
      <c r="B10" s="203">
        <f>SUM(B13:B33)</f>
        <v>1817300</v>
      </c>
      <c r="C10" s="7" t="s">
        <v>1</v>
      </c>
      <c r="D10" s="14">
        <f>SUM(D14:D33)</f>
        <v>1772390</v>
      </c>
      <c r="E10" s="14">
        <f>SUM(E14:E29)</f>
        <v>241800</v>
      </c>
      <c r="F10" s="14">
        <f>SUM(F14:F29)</f>
        <v>165200</v>
      </c>
      <c r="G10" s="14">
        <f>SUM(G14:G29)</f>
        <v>1321200</v>
      </c>
      <c r="H10" s="24">
        <f>G10-D10-E10-F10</f>
        <v>-858190</v>
      </c>
    </row>
    <row r="11" spans="1:9" s="4" customFormat="1">
      <c r="A11" s="30"/>
      <c r="B11" s="30"/>
      <c r="C11" s="7" t="s">
        <v>0</v>
      </c>
      <c r="D11" s="14">
        <f>SUM(D15+D17+D19+D21+D23+D26+D28+D30+D32+D34)</f>
        <v>362090</v>
      </c>
      <c r="E11" s="14">
        <v>0</v>
      </c>
      <c r="F11" s="14">
        <v>0</v>
      </c>
      <c r="G11" s="21"/>
      <c r="H11" s="18"/>
    </row>
    <row r="12" spans="1:9" s="4" customFormat="1">
      <c r="A12" s="48" t="s">
        <v>130</v>
      </c>
      <c r="B12" s="48"/>
      <c r="C12" s="7"/>
      <c r="D12" s="14"/>
      <c r="E12" s="14"/>
      <c r="F12" s="14"/>
      <c r="G12" s="21"/>
      <c r="H12" s="18"/>
    </row>
    <row r="13" spans="1:9" s="5" customFormat="1">
      <c r="A13" s="143" t="s">
        <v>27</v>
      </c>
      <c r="B13" s="143"/>
      <c r="C13" s="6"/>
      <c r="D13" s="15"/>
      <c r="E13" s="15"/>
      <c r="F13" s="15"/>
      <c r="G13" s="22"/>
      <c r="H13" s="19"/>
    </row>
    <row r="14" spans="1:9" s="5" customFormat="1">
      <c r="A14" s="42" t="s">
        <v>21</v>
      </c>
      <c r="B14" s="183">
        <v>425100</v>
      </c>
      <c r="C14" s="6" t="s">
        <v>1</v>
      </c>
      <c r="D14" s="15">
        <v>142000</v>
      </c>
      <c r="E14" s="15">
        <v>140000</v>
      </c>
      <c r="F14" s="15">
        <v>143100</v>
      </c>
      <c r="G14" s="22">
        <f>SUM(D14:F14)</f>
        <v>425100</v>
      </c>
      <c r="H14" s="25">
        <f t="shared" ref="H14:H33" si="0">G14-D14-E14-F14</f>
        <v>0</v>
      </c>
      <c r="I14" s="5" t="s">
        <v>58</v>
      </c>
    </row>
    <row r="15" spans="1:9" s="5" customFormat="1">
      <c r="A15" s="223"/>
      <c r="B15" s="183"/>
      <c r="C15" s="6" t="s">
        <v>0</v>
      </c>
      <c r="D15" s="15">
        <v>111980</v>
      </c>
      <c r="E15" s="15">
        <v>0</v>
      </c>
      <c r="F15" s="15">
        <v>0</v>
      </c>
      <c r="G15" s="22"/>
      <c r="H15" s="25"/>
    </row>
    <row r="16" spans="1:9" s="5" customFormat="1">
      <c r="A16" s="44" t="s">
        <v>17</v>
      </c>
      <c r="B16" s="204">
        <v>18100</v>
      </c>
      <c r="C16" s="6" t="s">
        <v>1</v>
      </c>
      <c r="D16" s="15">
        <v>5000</v>
      </c>
      <c r="E16" s="15">
        <v>6000</v>
      </c>
      <c r="F16" s="15">
        <v>7100</v>
      </c>
      <c r="G16" s="22">
        <f>SUM(D16:F16)</f>
        <v>18100</v>
      </c>
      <c r="H16" s="25">
        <f t="shared" si="0"/>
        <v>0</v>
      </c>
    </row>
    <row r="17" spans="1:8" s="5" customFormat="1">
      <c r="A17" s="219"/>
      <c r="B17" s="204"/>
      <c r="C17" s="6" t="s">
        <v>0</v>
      </c>
      <c r="D17" s="15">
        <v>0</v>
      </c>
      <c r="E17" s="15">
        <v>0</v>
      </c>
      <c r="F17" s="15">
        <v>0</v>
      </c>
      <c r="G17" s="22"/>
      <c r="H17" s="25"/>
    </row>
    <row r="18" spans="1:8" s="5" customFormat="1">
      <c r="A18" s="44" t="s">
        <v>14</v>
      </c>
      <c r="B18" s="204">
        <v>22000</v>
      </c>
      <c r="C18" s="6" t="s">
        <v>1</v>
      </c>
      <c r="D18" s="15">
        <v>5000</v>
      </c>
      <c r="E18" s="15">
        <v>7000</v>
      </c>
      <c r="F18" s="15">
        <v>10000</v>
      </c>
      <c r="G18" s="22">
        <v>22000</v>
      </c>
      <c r="H18" s="25">
        <f t="shared" si="0"/>
        <v>0</v>
      </c>
    </row>
    <row r="19" spans="1:8" s="5" customFormat="1">
      <c r="A19" s="219"/>
      <c r="B19" s="204"/>
      <c r="C19" s="6" t="s">
        <v>0</v>
      </c>
      <c r="D19" s="15">
        <v>0</v>
      </c>
      <c r="E19" s="15">
        <v>0</v>
      </c>
      <c r="F19" s="15">
        <v>0</v>
      </c>
      <c r="G19" s="22"/>
      <c r="H19" s="25"/>
    </row>
    <row r="20" spans="1:8" s="5" customFormat="1">
      <c r="A20" s="49" t="s">
        <v>202</v>
      </c>
      <c r="B20" s="176">
        <v>388800</v>
      </c>
      <c r="C20" s="6" t="s">
        <v>1</v>
      </c>
      <c r="D20" s="15">
        <v>388800</v>
      </c>
      <c r="E20" s="15">
        <v>0</v>
      </c>
      <c r="F20" s="15">
        <v>0</v>
      </c>
      <c r="G20" s="22">
        <f>SUM(D20:F20)</f>
        <v>388800</v>
      </c>
      <c r="H20" s="25">
        <f t="shared" si="0"/>
        <v>0</v>
      </c>
    </row>
    <row r="21" spans="1:8" s="5" customFormat="1">
      <c r="A21" s="166"/>
      <c r="B21" s="176"/>
      <c r="C21" s="6" t="s">
        <v>0</v>
      </c>
      <c r="D21" s="15">
        <v>93600</v>
      </c>
      <c r="E21" s="15">
        <v>0</v>
      </c>
      <c r="F21" s="15">
        <v>0</v>
      </c>
      <c r="G21" s="22"/>
      <c r="H21" s="25"/>
    </row>
    <row r="22" spans="1:8" s="5" customFormat="1">
      <c r="A22" s="49" t="s">
        <v>203</v>
      </c>
      <c r="B22" s="176">
        <v>388800</v>
      </c>
      <c r="C22" s="6" t="s">
        <v>1</v>
      </c>
      <c r="D22" s="15">
        <v>388800</v>
      </c>
      <c r="E22" s="15">
        <v>0</v>
      </c>
      <c r="F22" s="15">
        <v>0</v>
      </c>
      <c r="G22" s="22">
        <v>338400</v>
      </c>
      <c r="H22" s="25">
        <f t="shared" ref="H22" si="1">G22-D22-E22-F22</f>
        <v>-50400</v>
      </c>
    </row>
    <row r="23" spans="1:8" s="5" customFormat="1">
      <c r="A23" s="166" t="s">
        <v>204</v>
      </c>
      <c r="B23" s="49"/>
      <c r="C23" s="6" t="s">
        <v>0</v>
      </c>
      <c r="D23" s="15">
        <v>97200</v>
      </c>
      <c r="E23" s="15">
        <v>0</v>
      </c>
      <c r="F23" s="15">
        <v>0</v>
      </c>
      <c r="G23" s="22"/>
      <c r="H23" s="25"/>
    </row>
    <row r="24" spans="1:8" s="5" customFormat="1">
      <c r="A24" s="47" t="s">
        <v>132</v>
      </c>
      <c r="B24" s="47"/>
      <c r="C24" s="6"/>
      <c r="D24" s="15"/>
      <c r="E24" s="15"/>
      <c r="F24" s="15"/>
      <c r="G24" s="22"/>
      <c r="H24" s="25"/>
    </row>
    <row r="25" spans="1:8" s="5" customFormat="1">
      <c r="A25" s="46" t="s">
        <v>10</v>
      </c>
      <c r="B25" s="205">
        <v>120000</v>
      </c>
      <c r="C25" s="6" t="s">
        <v>1</v>
      </c>
      <c r="D25" s="15">
        <v>60000</v>
      </c>
      <c r="E25" s="15">
        <v>60000</v>
      </c>
      <c r="F25" s="15">
        <v>0</v>
      </c>
      <c r="G25" s="102">
        <f>SUM(D25:F25)</f>
        <v>120000</v>
      </c>
      <c r="H25" s="25">
        <f t="shared" si="0"/>
        <v>0</v>
      </c>
    </row>
    <row r="26" spans="1:8" s="5" customFormat="1">
      <c r="A26" s="224"/>
      <c r="B26" s="205"/>
      <c r="C26" s="6" t="s">
        <v>0</v>
      </c>
      <c r="D26" s="15">
        <v>33010</v>
      </c>
      <c r="E26" s="15">
        <v>0</v>
      </c>
      <c r="F26" s="15"/>
      <c r="G26" s="102"/>
      <c r="H26" s="25"/>
    </row>
    <row r="27" spans="1:8" s="5" customFormat="1">
      <c r="A27" s="44" t="s">
        <v>9</v>
      </c>
      <c r="B27" s="205">
        <v>50000</v>
      </c>
      <c r="C27" s="6" t="s">
        <v>1</v>
      </c>
      <c r="D27" s="15">
        <v>25000</v>
      </c>
      <c r="E27" s="15">
        <v>25000</v>
      </c>
      <c r="F27" s="15">
        <v>0</v>
      </c>
      <c r="G27" s="102"/>
      <c r="H27" s="25"/>
    </row>
    <row r="28" spans="1:8" s="5" customFormat="1">
      <c r="A28" s="219"/>
      <c r="B28" s="205"/>
      <c r="C28" s="6" t="s">
        <v>0</v>
      </c>
      <c r="D28" s="15">
        <v>25000</v>
      </c>
      <c r="E28" s="15">
        <v>0</v>
      </c>
      <c r="F28" s="15">
        <v>0</v>
      </c>
      <c r="G28" s="102"/>
      <c r="H28" s="25"/>
    </row>
    <row r="29" spans="1:8" s="5" customFormat="1">
      <c r="A29" s="44" t="s">
        <v>8</v>
      </c>
      <c r="B29" s="204">
        <v>8800</v>
      </c>
      <c r="C29" s="6" t="s">
        <v>1</v>
      </c>
      <c r="D29" s="15">
        <v>0</v>
      </c>
      <c r="E29" s="15">
        <v>3800</v>
      </c>
      <c r="F29" s="15">
        <v>5000</v>
      </c>
      <c r="G29" s="22">
        <f>SUM(D29:F29)</f>
        <v>8800</v>
      </c>
      <c r="H29" s="25">
        <f t="shared" si="0"/>
        <v>0</v>
      </c>
    </row>
    <row r="30" spans="1:8" s="5" customFormat="1">
      <c r="A30" s="219"/>
      <c r="B30" s="204"/>
      <c r="C30" s="6" t="s">
        <v>0</v>
      </c>
      <c r="D30" s="15"/>
      <c r="E30" s="15"/>
      <c r="F30" s="15"/>
      <c r="G30" s="22"/>
      <c r="H30" s="25"/>
    </row>
    <row r="31" spans="1:8" s="5" customFormat="1">
      <c r="A31" s="49" t="s">
        <v>7</v>
      </c>
      <c r="B31" s="176">
        <v>1300</v>
      </c>
      <c r="C31" s="6" t="s">
        <v>1</v>
      </c>
      <c r="D31" s="15">
        <v>1300</v>
      </c>
      <c r="E31" s="15">
        <v>0</v>
      </c>
      <c r="F31" s="15">
        <v>0</v>
      </c>
      <c r="G31" s="22">
        <v>1300</v>
      </c>
      <c r="H31" s="25">
        <f t="shared" ref="H31" si="2">G31-D31-E31-F31</f>
        <v>0</v>
      </c>
    </row>
    <row r="32" spans="1:8" s="5" customFormat="1">
      <c r="A32" s="166"/>
      <c r="B32" s="176"/>
      <c r="C32" s="6" t="s">
        <v>0</v>
      </c>
      <c r="D32" s="15">
        <v>1300</v>
      </c>
      <c r="E32" s="15">
        <v>0</v>
      </c>
      <c r="F32" s="15">
        <v>0</v>
      </c>
      <c r="G32" s="22"/>
      <c r="H32" s="25"/>
    </row>
    <row r="33" spans="1:8" s="5" customFormat="1">
      <c r="A33" s="49" t="s">
        <v>265</v>
      </c>
      <c r="B33" s="176">
        <v>394400</v>
      </c>
      <c r="C33" s="6" t="s">
        <v>1</v>
      </c>
      <c r="D33" s="15">
        <v>394400</v>
      </c>
      <c r="E33" s="15">
        <v>0</v>
      </c>
      <c r="F33" s="15">
        <v>0</v>
      </c>
      <c r="G33" s="22">
        <v>1300</v>
      </c>
      <c r="H33" s="25">
        <f t="shared" si="0"/>
        <v>-393100</v>
      </c>
    </row>
    <row r="34" spans="1:8" s="5" customFormat="1">
      <c r="A34" s="214" t="s">
        <v>266</v>
      </c>
      <c r="B34" s="176"/>
      <c r="C34" s="6" t="s">
        <v>0</v>
      </c>
      <c r="D34" s="15">
        <v>0</v>
      </c>
      <c r="E34" s="15">
        <v>0</v>
      </c>
      <c r="F34" s="15">
        <v>0</v>
      </c>
      <c r="G34" s="22"/>
      <c r="H34" s="25"/>
    </row>
    <row r="35" spans="1:8">
      <c r="A35" s="245" t="s">
        <v>108</v>
      </c>
      <c r="B35" s="172"/>
      <c r="C35" s="3" t="s">
        <v>1</v>
      </c>
      <c r="D35" s="58">
        <f>D8</f>
        <v>1772390</v>
      </c>
      <c r="E35" s="58">
        <f t="shared" ref="E35:F35" si="3">E8</f>
        <v>241800</v>
      </c>
      <c r="F35" s="58">
        <f t="shared" si="3"/>
        <v>165200</v>
      </c>
      <c r="G35" s="20">
        <f>SUM(D35:F35)</f>
        <v>2179390</v>
      </c>
    </row>
    <row r="36" spans="1:8">
      <c r="A36" s="246"/>
      <c r="B36" s="173"/>
      <c r="C36" s="3" t="s">
        <v>0</v>
      </c>
      <c r="D36" s="58">
        <f>SUM(D9)</f>
        <v>362090</v>
      </c>
      <c r="E36" s="58">
        <f t="shared" ref="E36:F36" si="4">E9</f>
        <v>0</v>
      </c>
      <c r="F36" s="58">
        <f t="shared" si="4"/>
        <v>0</v>
      </c>
    </row>
    <row r="37" spans="1:8" ht="13.5" customHeight="1">
      <c r="A37" s="1"/>
      <c r="B37" s="1"/>
      <c r="C37" s="1"/>
    </row>
    <row r="38" spans="1:8" ht="65.25" customHeight="1">
      <c r="A38" s="2" t="s">
        <v>58</v>
      </c>
      <c r="B38" s="2"/>
      <c r="C38" s="1"/>
      <c r="D38" t="s">
        <v>58</v>
      </c>
    </row>
    <row r="40" spans="1:8">
      <c r="F40" s="110"/>
    </row>
  </sheetData>
  <mergeCells count="6">
    <mergeCell ref="F5:F6"/>
    <mergeCell ref="A35:A36"/>
    <mergeCell ref="A1:D1"/>
    <mergeCell ref="A5:A6"/>
    <mergeCell ref="D5:D6"/>
    <mergeCell ref="E5:E6"/>
  </mergeCells>
  <printOptions horizontalCentered="1"/>
  <pageMargins left="0.35433070866141736" right="0" top="0.39370078740157483" bottom="0.23622047244094491" header="0.19685039370078741" footer="0.19685039370078741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47"/>
  <sheetViews>
    <sheetView view="pageBreakPreview" zoomScale="80" zoomScaleSheetLayoutView="8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C30" sqref="C30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135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144</v>
      </c>
      <c r="B8" s="8" t="s">
        <v>1</v>
      </c>
      <c r="C8" s="57">
        <f>C10+C15</f>
        <v>371315</v>
      </c>
      <c r="D8" s="57">
        <f>D10+D15</f>
        <v>248900</v>
      </c>
      <c r="E8" s="57">
        <f>E10+E15</f>
        <v>119000</v>
      </c>
      <c r="F8" s="57">
        <f>SUM(C8:E8)</f>
        <v>739215</v>
      </c>
    </row>
    <row r="9" spans="1:7">
      <c r="A9" s="41"/>
      <c r="B9" s="8" t="s">
        <v>0</v>
      </c>
      <c r="C9" s="57">
        <f>SUM(C11+C16+C35)</f>
        <v>178915</v>
      </c>
      <c r="D9" s="57">
        <f>SUM(D11+D16+D35)</f>
        <v>0</v>
      </c>
      <c r="E9" s="57">
        <f>SUM(E11+E16+E35)</f>
        <v>0</v>
      </c>
    </row>
    <row r="10" spans="1:7" s="4" customFormat="1">
      <c r="A10" s="29" t="s">
        <v>129</v>
      </c>
      <c r="B10" s="7" t="s">
        <v>1</v>
      </c>
      <c r="C10" s="14">
        <v>135200</v>
      </c>
      <c r="D10" s="14">
        <f>SUM(D13:D13)</f>
        <v>0</v>
      </c>
      <c r="E10" s="14">
        <f>SUM(E13:E13)</f>
        <v>0</v>
      </c>
      <c r="F10" s="14">
        <f>SUM(F13:F13)</f>
        <v>78700</v>
      </c>
      <c r="G10" s="24">
        <f>F10-C10-D10-E10</f>
        <v>-56500</v>
      </c>
    </row>
    <row r="11" spans="1:7" s="4" customFormat="1">
      <c r="A11" s="30"/>
      <c r="B11" s="7" t="s">
        <v>0</v>
      </c>
      <c r="C11" s="14">
        <f>SUM(C14)</f>
        <v>102400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29</v>
      </c>
      <c r="B13" s="6" t="s">
        <v>1</v>
      </c>
      <c r="C13" s="15">
        <v>135200</v>
      </c>
      <c r="D13" s="15"/>
      <c r="E13" s="15"/>
      <c r="F13" s="22">
        <v>78700</v>
      </c>
      <c r="G13" s="25">
        <f t="shared" ref="G13" si="0">F13-C13-D13-E13</f>
        <v>-56500</v>
      </c>
    </row>
    <row r="14" spans="1:7" s="5" customFormat="1">
      <c r="A14" s="44"/>
      <c r="B14" s="6" t="s">
        <v>0</v>
      </c>
      <c r="C14" s="15">
        <v>102400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SUM(C18:C36)</f>
        <v>236115</v>
      </c>
      <c r="D15" s="14">
        <f>SUM(D18:D36)</f>
        <v>248900</v>
      </c>
      <c r="E15" s="14">
        <f>SUM(E18:E36)</f>
        <v>119000</v>
      </c>
      <c r="F15" s="14">
        <f>SUM(F18:F36)</f>
        <v>526100</v>
      </c>
      <c r="G15" s="24">
        <f>F15-C15-D15-E15</f>
        <v>-77915</v>
      </c>
    </row>
    <row r="16" spans="1:7" s="4" customFormat="1">
      <c r="A16" s="30"/>
      <c r="B16" s="7" t="s">
        <v>0</v>
      </c>
      <c r="C16" s="14">
        <f>SUM(C19+C22+C24+C27+C29+C31+C33)</f>
        <v>76515</v>
      </c>
      <c r="D16" s="14"/>
      <c r="E16" s="14"/>
      <c r="F16" s="21"/>
      <c r="G16" s="18"/>
    </row>
    <row r="17" spans="1:7" s="5" customFormat="1">
      <c r="A17" s="143" t="s">
        <v>27</v>
      </c>
      <c r="B17" s="6"/>
      <c r="C17" s="15"/>
      <c r="D17" s="15"/>
      <c r="E17" s="15"/>
      <c r="F17" s="22"/>
      <c r="G17" s="19"/>
    </row>
    <row r="18" spans="1:7" s="5" customFormat="1">
      <c r="A18" s="44" t="s">
        <v>21</v>
      </c>
      <c r="B18" s="6" t="s">
        <v>1</v>
      </c>
      <c r="C18" s="15">
        <v>62000</v>
      </c>
      <c r="D18" s="15">
        <v>136900</v>
      </c>
      <c r="E18" s="15">
        <v>109000</v>
      </c>
      <c r="F18" s="22">
        <v>253900</v>
      </c>
      <c r="G18" s="25">
        <f t="shared" ref="G18:G36" si="1">F18-C18-D18-E18</f>
        <v>-54000</v>
      </c>
    </row>
    <row r="19" spans="1:7" s="5" customFormat="1">
      <c r="A19" s="219"/>
      <c r="B19" s="6" t="s">
        <v>0</v>
      </c>
      <c r="C19" s="15">
        <v>20800</v>
      </c>
      <c r="D19" s="15">
        <v>0</v>
      </c>
      <c r="E19" s="15">
        <v>0</v>
      </c>
      <c r="F19" s="22"/>
      <c r="G19" s="25"/>
    </row>
    <row r="20" spans="1:7" s="5" customFormat="1">
      <c r="A20" s="43" t="s">
        <v>28</v>
      </c>
      <c r="B20" s="6"/>
      <c r="C20" s="15"/>
      <c r="D20" s="15"/>
      <c r="E20" s="15"/>
      <c r="F20" s="22"/>
      <c r="G20" s="25"/>
    </row>
    <row r="21" spans="1:7" s="5" customFormat="1">
      <c r="A21" s="44" t="s">
        <v>17</v>
      </c>
      <c r="B21" s="6" t="s">
        <v>1</v>
      </c>
      <c r="C21" s="15">
        <v>15000</v>
      </c>
      <c r="D21" s="15">
        <v>21200</v>
      </c>
      <c r="E21" s="15">
        <v>0</v>
      </c>
      <c r="F21" s="22">
        <v>18100</v>
      </c>
      <c r="G21" s="25">
        <f t="shared" si="1"/>
        <v>-18100</v>
      </c>
    </row>
    <row r="22" spans="1:7" s="5" customFormat="1">
      <c r="A22" s="219"/>
      <c r="B22" s="6" t="s">
        <v>0</v>
      </c>
      <c r="C22" s="15">
        <v>0</v>
      </c>
      <c r="D22" s="15">
        <v>0</v>
      </c>
      <c r="E22" s="15">
        <v>0</v>
      </c>
      <c r="F22" s="22"/>
      <c r="G22" s="25"/>
    </row>
    <row r="23" spans="1:7" s="5" customFormat="1">
      <c r="A23" s="44" t="s">
        <v>14</v>
      </c>
      <c r="B23" s="6" t="s">
        <v>1</v>
      </c>
      <c r="C23" s="15">
        <v>10000</v>
      </c>
      <c r="D23" s="15">
        <v>10800</v>
      </c>
      <c r="E23" s="15">
        <v>0</v>
      </c>
      <c r="F23" s="22">
        <f>SUM(C23:E23)</f>
        <v>20800</v>
      </c>
      <c r="G23" s="25">
        <f t="shared" si="1"/>
        <v>0</v>
      </c>
    </row>
    <row r="24" spans="1:7" s="5" customFormat="1">
      <c r="A24" s="219"/>
      <c r="B24" s="6" t="s">
        <v>0</v>
      </c>
      <c r="C24" s="15">
        <v>0</v>
      </c>
      <c r="D24" s="15">
        <v>0</v>
      </c>
      <c r="E24" s="15">
        <v>0</v>
      </c>
      <c r="F24" s="22"/>
      <c r="G24" s="25"/>
    </row>
    <row r="25" spans="1:7" s="5" customFormat="1">
      <c r="A25" s="47" t="s">
        <v>132</v>
      </c>
      <c r="B25" s="6"/>
      <c r="C25" s="15"/>
      <c r="D25" s="15"/>
      <c r="E25" s="15"/>
      <c r="F25" s="22"/>
      <c r="G25" s="25"/>
    </row>
    <row r="26" spans="1:7" s="5" customFormat="1">
      <c r="A26" s="46" t="s">
        <v>199</v>
      </c>
      <c r="B26" s="6" t="s">
        <v>1</v>
      </c>
      <c r="C26" s="15">
        <v>40000</v>
      </c>
      <c r="D26" s="15">
        <v>50000</v>
      </c>
      <c r="E26" s="15">
        <v>10000</v>
      </c>
      <c r="F26" s="22">
        <f>SUM(C26:E26)</f>
        <v>100000</v>
      </c>
      <c r="G26" s="25">
        <f t="shared" si="1"/>
        <v>0</v>
      </c>
    </row>
    <row r="27" spans="1:7" s="5" customFormat="1">
      <c r="A27" s="224"/>
      <c r="B27" s="6" t="s">
        <v>0</v>
      </c>
      <c r="C27" s="15">
        <v>5365</v>
      </c>
      <c r="D27" s="15">
        <v>0</v>
      </c>
      <c r="E27" s="15">
        <v>0</v>
      </c>
      <c r="F27" s="22"/>
      <c r="G27" s="25"/>
    </row>
    <row r="28" spans="1:7" s="5" customFormat="1">
      <c r="A28" s="44" t="s">
        <v>9</v>
      </c>
      <c r="B28" s="6" t="s">
        <v>1</v>
      </c>
      <c r="C28" s="15">
        <v>16000</v>
      </c>
      <c r="D28" s="15">
        <v>20000</v>
      </c>
      <c r="E28" s="15">
        <v>0</v>
      </c>
      <c r="F28" s="22">
        <v>60000</v>
      </c>
      <c r="G28" s="25">
        <f t="shared" si="1"/>
        <v>24000</v>
      </c>
    </row>
    <row r="29" spans="1:7" s="5" customFormat="1">
      <c r="A29" s="219"/>
      <c r="B29" s="6" t="s">
        <v>0</v>
      </c>
      <c r="C29" s="15">
        <v>47750</v>
      </c>
      <c r="D29" s="15">
        <v>0</v>
      </c>
      <c r="E29" s="15">
        <v>0</v>
      </c>
      <c r="F29" s="22"/>
      <c r="G29" s="25"/>
    </row>
    <row r="30" spans="1:7" s="5" customFormat="1">
      <c r="A30" s="44" t="s">
        <v>8</v>
      </c>
      <c r="B30" s="6" t="s">
        <v>1</v>
      </c>
      <c r="C30" s="15">
        <v>14000</v>
      </c>
      <c r="D30" s="15">
        <v>10000</v>
      </c>
      <c r="E30" s="15">
        <v>0</v>
      </c>
      <c r="F30" s="22">
        <v>60000</v>
      </c>
      <c r="G30" s="25">
        <f t="shared" si="1"/>
        <v>36000</v>
      </c>
    </row>
    <row r="31" spans="1:7" s="5" customFormat="1">
      <c r="A31" s="219"/>
      <c r="B31" s="6" t="s">
        <v>0</v>
      </c>
      <c r="C31" s="15">
        <v>0</v>
      </c>
      <c r="D31" s="15">
        <v>0</v>
      </c>
      <c r="E31" s="15">
        <v>0</v>
      </c>
      <c r="F31" s="22"/>
      <c r="G31" s="25"/>
    </row>
    <row r="32" spans="1:7" s="5" customFormat="1">
      <c r="A32" s="231" t="s">
        <v>7</v>
      </c>
      <c r="B32" s="6" t="s">
        <v>1</v>
      </c>
      <c r="C32" s="15">
        <v>2600</v>
      </c>
      <c r="D32" s="15"/>
      <c r="E32" s="15"/>
      <c r="F32" s="22">
        <v>1300</v>
      </c>
      <c r="G32" s="25">
        <f t="shared" si="1"/>
        <v>-1300</v>
      </c>
    </row>
    <row r="33" spans="1:7" s="5" customFormat="1">
      <c r="A33" s="49"/>
      <c r="B33" s="6" t="s">
        <v>0</v>
      </c>
      <c r="C33" s="15">
        <v>2600</v>
      </c>
      <c r="D33" s="15">
        <v>0</v>
      </c>
      <c r="E33" s="15">
        <v>0</v>
      </c>
      <c r="F33" s="22"/>
      <c r="G33" s="25"/>
    </row>
    <row r="34" spans="1:7" s="5" customFormat="1">
      <c r="A34" s="29" t="s">
        <v>205</v>
      </c>
      <c r="B34" s="6" t="s">
        <v>1</v>
      </c>
      <c r="C34" s="15"/>
      <c r="D34" s="15"/>
      <c r="E34" s="15"/>
      <c r="F34" s="22"/>
      <c r="G34" s="25"/>
    </row>
    <row r="35" spans="1:7" s="5" customFormat="1">
      <c r="A35" s="44"/>
      <c r="B35" s="6" t="s">
        <v>0</v>
      </c>
      <c r="C35" s="15">
        <f>SUM(C37+C39)</f>
        <v>0</v>
      </c>
      <c r="D35" s="15"/>
      <c r="E35" s="15"/>
      <c r="F35" s="22"/>
      <c r="G35" s="25"/>
    </row>
    <row r="36" spans="1:7" s="5" customFormat="1">
      <c r="A36" s="154" t="s">
        <v>225</v>
      </c>
      <c r="B36" s="6" t="s">
        <v>1</v>
      </c>
      <c r="C36" s="15">
        <v>0</v>
      </c>
      <c r="D36" s="15">
        <v>0</v>
      </c>
      <c r="E36" s="15">
        <v>0</v>
      </c>
      <c r="F36" s="22">
        <v>12000</v>
      </c>
      <c r="G36" s="25">
        <f t="shared" si="1"/>
        <v>12000</v>
      </c>
    </row>
    <row r="37" spans="1:7" s="5" customFormat="1">
      <c r="A37" s="44" t="s">
        <v>226</v>
      </c>
      <c r="B37" s="6" t="s">
        <v>0</v>
      </c>
      <c r="C37" s="15"/>
      <c r="D37" s="15"/>
      <c r="E37" s="15"/>
      <c r="F37" s="22"/>
      <c r="G37" s="25"/>
    </row>
    <row r="38" spans="1:7" s="5" customFormat="1">
      <c r="A38" s="154" t="s">
        <v>225</v>
      </c>
      <c r="B38" s="6" t="s">
        <v>1</v>
      </c>
      <c r="C38" s="15">
        <v>0</v>
      </c>
      <c r="D38" s="15">
        <v>0</v>
      </c>
      <c r="E38" s="15">
        <v>0</v>
      </c>
      <c r="F38" s="22"/>
      <c r="G38" s="25"/>
    </row>
    <row r="39" spans="1:7" s="5" customFormat="1">
      <c r="A39" s="219" t="s">
        <v>227</v>
      </c>
      <c r="B39" s="6" t="s">
        <v>0</v>
      </c>
      <c r="C39" s="15"/>
      <c r="D39" s="15"/>
      <c r="E39" s="15"/>
      <c r="F39" s="22"/>
      <c r="G39" s="25"/>
    </row>
    <row r="40" spans="1:7">
      <c r="A40" s="245" t="s">
        <v>108</v>
      </c>
      <c r="B40" s="3" t="s">
        <v>1</v>
      </c>
      <c r="C40" s="58">
        <f>C8</f>
        <v>371315</v>
      </c>
      <c r="D40" s="58">
        <f t="shared" ref="D40:E40" si="2">D8</f>
        <v>248900</v>
      </c>
      <c r="E40" s="58">
        <f t="shared" si="2"/>
        <v>119000</v>
      </c>
      <c r="F40" s="20">
        <f>SUM(C40:E40)</f>
        <v>739215</v>
      </c>
    </row>
    <row r="41" spans="1:7">
      <c r="A41" s="246"/>
      <c r="B41" s="3" t="s">
        <v>0</v>
      </c>
      <c r="C41" s="58">
        <f>SUM(C9)</f>
        <v>178915</v>
      </c>
      <c r="D41" s="58">
        <f>SUM(D9)</f>
        <v>0</v>
      </c>
      <c r="E41" s="58">
        <f>SUM(E9)</f>
        <v>0</v>
      </c>
    </row>
    <row r="42" spans="1:7" ht="13.5" customHeight="1">
      <c r="A42" s="1"/>
      <c r="B42" s="1"/>
    </row>
    <row r="43" spans="1:7" ht="42" customHeight="1">
      <c r="A43" s="2" t="s">
        <v>58</v>
      </c>
      <c r="B43" s="1"/>
    </row>
    <row r="45" spans="1:7">
      <c r="C45" t="s">
        <v>58</v>
      </c>
    </row>
    <row r="46" spans="1:7">
      <c r="C46" t="s">
        <v>58</v>
      </c>
    </row>
    <row r="47" spans="1:7">
      <c r="E47" t="s">
        <v>58</v>
      </c>
    </row>
  </sheetData>
  <mergeCells count="6">
    <mergeCell ref="A1:C1"/>
    <mergeCell ref="A40:A41"/>
    <mergeCell ref="E5:E6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40"/>
  <sheetViews>
    <sheetView view="pageBreakPreview" zoomScale="80" zoomScaleSheetLayoutView="80" workbookViewId="0">
      <pane xSplit="2" ySplit="9" topLeftCell="C31" activePane="bottomRight" state="frozen"/>
      <selection pane="topRight" activeCell="C1" sqref="C1"/>
      <selection pane="bottomLeft" activeCell="A9" sqref="A9"/>
      <selection pane="bottomRight" activeCell="C29" sqref="C29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136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145</v>
      </c>
      <c r="B8" s="8" t="s">
        <v>1</v>
      </c>
      <c r="C8" s="57">
        <f>C10+C12</f>
        <v>548692</v>
      </c>
      <c r="D8" s="57">
        <f>D10+D12</f>
        <v>106900</v>
      </c>
      <c r="E8" s="57">
        <f>E10+E12</f>
        <v>16900</v>
      </c>
      <c r="F8" s="57">
        <f>SUM(C8:E8)</f>
        <v>672492</v>
      </c>
    </row>
    <row r="9" spans="1:7">
      <c r="A9" s="28"/>
      <c r="B9" s="8" t="s">
        <v>0</v>
      </c>
      <c r="C9" s="57">
        <f>SUM(C11+C13)</f>
        <v>165792</v>
      </c>
      <c r="D9" s="57">
        <f>SUM(D11+D13)</f>
        <v>0</v>
      </c>
      <c r="E9" s="57">
        <f>SUM(E11+E13)</f>
        <v>0</v>
      </c>
    </row>
    <row r="10" spans="1:7" s="4" customFormat="1">
      <c r="A10" s="29" t="s">
        <v>129</v>
      </c>
      <c r="B10" s="7" t="s">
        <v>1</v>
      </c>
      <c r="C10" s="14">
        <v>0</v>
      </c>
      <c r="D10" s="14">
        <v>0</v>
      </c>
      <c r="E10" s="14">
        <v>0</v>
      </c>
      <c r="F10" s="14" t="e">
        <f>SUM(#REF!)</f>
        <v>#REF!</v>
      </c>
      <c r="G10" s="24" t="e">
        <f>F10-C10-D10-E10</f>
        <v>#REF!</v>
      </c>
    </row>
    <row r="11" spans="1:7" s="4" customFormat="1">
      <c r="A11" s="30"/>
      <c r="B11" s="7" t="s">
        <v>0</v>
      </c>
      <c r="C11" s="14"/>
      <c r="D11" s="14"/>
      <c r="E11" s="14"/>
      <c r="F11" s="21"/>
      <c r="G11" s="18"/>
    </row>
    <row r="12" spans="1:7" s="4" customFormat="1">
      <c r="A12" s="29" t="s">
        <v>131</v>
      </c>
      <c r="B12" s="7" t="s">
        <v>1</v>
      </c>
      <c r="C12" s="14">
        <f>SUM(C16:C32)</f>
        <v>548692</v>
      </c>
      <c r="D12" s="14">
        <f t="shared" ref="D12:E12" si="0">SUM(D16:D30)</f>
        <v>106900</v>
      </c>
      <c r="E12" s="14">
        <f t="shared" si="0"/>
        <v>16900</v>
      </c>
      <c r="F12" s="14">
        <f>SUM(F16:F30)</f>
        <v>394600</v>
      </c>
      <c r="G12" s="24">
        <f>F12-C12-D12-E12</f>
        <v>-277892</v>
      </c>
    </row>
    <row r="13" spans="1:7" s="4" customFormat="1">
      <c r="A13" s="30"/>
      <c r="B13" s="7" t="s">
        <v>0</v>
      </c>
      <c r="C13" s="14">
        <f>SUM(C17+C20+C22+C24+C27+C29+C31+C33)</f>
        <v>165792</v>
      </c>
      <c r="D13" s="14">
        <v>0</v>
      </c>
      <c r="E13" s="14">
        <v>0</v>
      </c>
      <c r="F13" s="21"/>
      <c r="G13" s="18"/>
    </row>
    <row r="14" spans="1:7" s="4" customFormat="1">
      <c r="A14" s="48" t="s">
        <v>130</v>
      </c>
      <c r="B14" s="7"/>
      <c r="C14" s="14"/>
      <c r="D14" s="14"/>
      <c r="E14" s="14"/>
      <c r="F14" s="21"/>
      <c r="G14" s="18"/>
    </row>
    <row r="15" spans="1:7" s="5" customFormat="1">
      <c r="A15" s="143" t="s">
        <v>27</v>
      </c>
      <c r="B15" s="6"/>
      <c r="C15" s="15"/>
      <c r="D15" s="15"/>
      <c r="E15" s="15"/>
      <c r="F15" s="22"/>
      <c r="G15" s="19"/>
    </row>
    <row r="16" spans="1:7" s="5" customFormat="1">
      <c r="A16" s="44" t="s">
        <v>21</v>
      </c>
      <c r="B16" s="6" t="s">
        <v>1</v>
      </c>
      <c r="C16" s="15">
        <v>117000</v>
      </c>
      <c r="D16" s="15">
        <v>0</v>
      </c>
      <c r="E16" s="15">
        <v>0</v>
      </c>
      <c r="F16" s="22">
        <v>78000</v>
      </c>
      <c r="G16" s="25">
        <f t="shared" ref="G16:G32" si="1">F16-C16-D16-E16</f>
        <v>-39000</v>
      </c>
    </row>
    <row r="17" spans="1:7" s="5" customFormat="1">
      <c r="A17" s="44"/>
      <c r="B17" s="6" t="s">
        <v>0</v>
      </c>
      <c r="C17" s="15">
        <v>46900</v>
      </c>
      <c r="D17" s="15">
        <v>0</v>
      </c>
      <c r="E17" s="15">
        <v>0</v>
      </c>
      <c r="F17" s="22"/>
      <c r="G17" s="25"/>
    </row>
    <row r="18" spans="1:7" s="5" customFormat="1">
      <c r="A18" s="43" t="s">
        <v>28</v>
      </c>
      <c r="B18" s="6"/>
      <c r="C18" s="15"/>
      <c r="D18" s="15"/>
      <c r="E18" s="15"/>
      <c r="F18" s="22"/>
      <c r="G18" s="25"/>
    </row>
    <row r="19" spans="1:7" s="5" customFormat="1">
      <c r="A19" s="44" t="s">
        <v>17</v>
      </c>
      <c r="B19" s="6" t="s">
        <v>1</v>
      </c>
      <c r="C19" s="15">
        <v>9000</v>
      </c>
      <c r="D19" s="15">
        <v>9000</v>
      </c>
      <c r="E19" s="15">
        <v>9000</v>
      </c>
      <c r="F19" s="22">
        <v>36200</v>
      </c>
      <c r="G19" s="25">
        <f t="shared" si="1"/>
        <v>9200</v>
      </c>
    </row>
    <row r="20" spans="1:7" s="5" customFormat="1">
      <c r="A20" s="44"/>
      <c r="B20" s="6" t="s">
        <v>0</v>
      </c>
      <c r="C20" s="15">
        <v>0</v>
      </c>
      <c r="D20" s="15">
        <v>0</v>
      </c>
      <c r="E20" s="15">
        <v>0</v>
      </c>
      <c r="F20" s="22"/>
      <c r="G20" s="25"/>
    </row>
    <row r="21" spans="1:7" s="5" customFormat="1">
      <c r="A21" s="44" t="s">
        <v>14</v>
      </c>
      <c r="B21" s="6" t="s">
        <v>1</v>
      </c>
      <c r="C21" s="15">
        <v>6000</v>
      </c>
      <c r="D21" s="15">
        <v>6000</v>
      </c>
      <c r="E21" s="15">
        <v>0</v>
      </c>
      <c r="F21" s="22">
        <v>12800</v>
      </c>
      <c r="G21" s="25">
        <f t="shared" si="1"/>
        <v>800</v>
      </c>
    </row>
    <row r="22" spans="1:7" s="5" customFormat="1">
      <c r="A22" s="44"/>
      <c r="B22" s="6" t="s">
        <v>0</v>
      </c>
      <c r="C22" s="15">
        <v>0</v>
      </c>
      <c r="D22" s="15">
        <v>0</v>
      </c>
      <c r="E22" s="15">
        <v>0</v>
      </c>
      <c r="F22" s="22"/>
      <c r="G22" s="25"/>
    </row>
    <row r="23" spans="1:7" s="5" customFormat="1">
      <c r="A23" s="44" t="s">
        <v>207</v>
      </c>
      <c r="B23" s="6" t="s">
        <v>1</v>
      </c>
      <c r="C23" s="15">
        <v>172800</v>
      </c>
      <c r="D23" s="15">
        <v>0</v>
      </c>
      <c r="E23" s="15">
        <v>0</v>
      </c>
      <c r="F23" s="22">
        <v>143600</v>
      </c>
      <c r="G23" s="25">
        <f t="shared" si="1"/>
        <v>-29200</v>
      </c>
    </row>
    <row r="24" spans="1:7" s="5" customFormat="1">
      <c r="A24" s="44"/>
      <c r="B24" s="6" t="s">
        <v>0</v>
      </c>
      <c r="C24" s="15">
        <v>43200</v>
      </c>
      <c r="D24" s="15">
        <v>0</v>
      </c>
      <c r="E24" s="15">
        <v>0</v>
      </c>
      <c r="F24" s="22"/>
      <c r="G24" s="25"/>
    </row>
    <row r="25" spans="1:7" s="5" customFormat="1">
      <c r="A25" s="45" t="s">
        <v>132</v>
      </c>
      <c r="B25" s="6"/>
      <c r="C25" s="15"/>
      <c r="D25" s="15"/>
      <c r="E25" s="15"/>
      <c r="F25" s="22"/>
      <c r="G25" s="25"/>
    </row>
    <row r="26" spans="1:7" s="5" customFormat="1">
      <c r="A26" s="46" t="s">
        <v>199</v>
      </c>
      <c r="B26" s="6" t="s">
        <v>1</v>
      </c>
      <c r="C26" s="15">
        <v>62100</v>
      </c>
      <c r="D26" s="15">
        <v>75900</v>
      </c>
      <c r="E26" s="15">
        <v>0</v>
      </c>
      <c r="F26" s="102">
        <f>50000-10000</f>
        <v>40000</v>
      </c>
      <c r="G26" s="25">
        <f t="shared" si="1"/>
        <v>-98000</v>
      </c>
    </row>
    <row r="27" spans="1:7" s="5" customFormat="1">
      <c r="A27" s="46"/>
      <c r="B27" s="6" t="s">
        <v>0</v>
      </c>
      <c r="C27" s="15">
        <v>21342</v>
      </c>
      <c r="D27" s="15">
        <v>0</v>
      </c>
      <c r="E27" s="15">
        <v>0</v>
      </c>
      <c r="F27" s="102"/>
      <c r="G27" s="25"/>
    </row>
    <row r="28" spans="1:7" s="5" customFormat="1">
      <c r="A28" s="44" t="s">
        <v>9</v>
      </c>
      <c r="B28" s="6" t="s">
        <v>1</v>
      </c>
      <c r="C28" s="15">
        <v>11000</v>
      </c>
      <c r="D28" s="15">
        <v>11000</v>
      </c>
      <c r="E28" s="15">
        <v>0</v>
      </c>
      <c r="F28" s="22">
        <v>60000</v>
      </c>
      <c r="G28" s="25">
        <f t="shared" si="1"/>
        <v>38000</v>
      </c>
    </row>
    <row r="29" spans="1:7" s="5" customFormat="1">
      <c r="A29" s="44"/>
      <c r="B29" s="6" t="s">
        <v>0</v>
      </c>
      <c r="C29" s="15">
        <v>51750</v>
      </c>
      <c r="D29" s="15">
        <v>0</v>
      </c>
      <c r="E29" s="15">
        <v>0</v>
      </c>
      <c r="F29" s="22"/>
      <c r="G29" s="25"/>
    </row>
    <row r="30" spans="1:7" s="5" customFormat="1">
      <c r="A30" s="44" t="s">
        <v>8</v>
      </c>
      <c r="B30" s="6" t="s">
        <v>1</v>
      </c>
      <c r="C30" s="15">
        <v>5000</v>
      </c>
      <c r="D30" s="15">
        <v>5000</v>
      </c>
      <c r="E30" s="15">
        <v>7900</v>
      </c>
      <c r="F30" s="22">
        <v>24000</v>
      </c>
      <c r="G30" s="25">
        <f t="shared" si="1"/>
        <v>6100</v>
      </c>
    </row>
    <row r="31" spans="1:7" s="5" customFormat="1">
      <c r="A31" s="44"/>
      <c r="B31" s="6" t="s">
        <v>0</v>
      </c>
      <c r="C31" s="15">
        <v>0</v>
      </c>
      <c r="D31" s="15">
        <v>0</v>
      </c>
      <c r="E31" s="15">
        <v>0</v>
      </c>
      <c r="F31" s="22"/>
      <c r="G31" s="25"/>
    </row>
    <row r="32" spans="1:7" s="5" customFormat="1">
      <c r="A32" s="166" t="s">
        <v>7</v>
      </c>
      <c r="B32" s="6" t="s">
        <v>1</v>
      </c>
      <c r="C32" s="15">
        <v>2600</v>
      </c>
      <c r="D32" s="15">
        <v>0</v>
      </c>
      <c r="E32" s="15">
        <v>0</v>
      </c>
      <c r="F32" s="22">
        <v>2600</v>
      </c>
      <c r="G32" s="25">
        <f t="shared" si="1"/>
        <v>0</v>
      </c>
    </row>
    <row r="33" spans="1:7" s="5" customFormat="1">
      <c r="A33" s="49"/>
      <c r="B33" s="6" t="s">
        <v>0</v>
      </c>
      <c r="C33" s="15">
        <v>2600</v>
      </c>
      <c r="D33" s="15">
        <v>0</v>
      </c>
      <c r="E33" s="15">
        <v>0</v>
      </c>
      <c r="F33" s="22"/>
      <c r="G33" s="25"/>
    </row>
    <row r="34" spans="1:7">
      <c r="A34" s="245" t="s">
        <v>108</v>
      </c>
      <c r="B34" s="3" t="s">
        <v>1</v>
      </c>
      <c r="C34" s="58">
        <f>C8</f>
        <v>548692</v>
      </c>
      <c r="D34" s="58">
        <f t="shared" ref="D34:E34" si="2">D8</f>
        <v>106900</v>
      </c>
      <c r="E34" s="58">
        <f t="shared" si="2"/>
        <v>16900</v>
      </c>
    </row>
    <row r="35" spans="1:7">
      <c r="A35" s="246"/>
      <c r="B35" s="3" t="s">
        <v>0</v>
      </c>
      <c r="C35" s="58">
        <f>SUM(C9)</f>
        <v>165792</v>
      </c>
      <c r="D35" s="58">
        <f>SUM(D9)</f>
        <v>0</v>
      </c>
      <c r="E35" s="58">
        <f>SUM(E9)</f>
        <v>0</v>
      </c>
    </row>
    <row r="36" spans="1:7" ht="13.5" customHeight="1">
      <c r="A36" s="1"/>
      <c r="B36" s="1"/>
    </row>
    <row r="37" spans="1:7" ht="39.75" customHeight="1">
      <c r="A37" s="2" t="s">
        <v>58</v>
      </c>
      <c r="B37" s="1"/>
    </row>
    <row r="40" spans="1:7">
      <c r="D40" t="s">
        <v>58</v>
      </c>
      <c r="E40" s="110">
        <f>(F12-E23)*0.3</f>
        <v>118380</v>
      </c>
    </row>
  </sheetData>
  <mergeCells count="6">
    <mergeCell ref="A1:C1"/>
    <mergeCell ref="E5:E6"/>
    <mergeCell ref="A34:A35"/>
    <mergeCell ref="A5:A6"/>
    <mergeCell ref="C5:C6"/>
    <mergeCell ref="D5:D6"/>
  </mergeCells>
  <printOptions horizontalCentered="1"/>
  <pageMargins left="0.35433070866141736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97"/>
  <sheetViews>
    <sheetView view="pageBreakPreview" zoomScale="80" zoomScaleSheetLayoutView="80" workbookViewId="0">
      <pane xSplit="2" ySplit="6" topLeftCell="C88" activePane="bottomRight" state="frozen"/>
      <selection pane="topRight" activeCell="C1" sqref="C1"/>
      <selection pane="bottomLeft" activeCell="A7" sqref="A7"/>
      <selection pane="bottomRight" activeCell="D76" sqref="D76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164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166</v>
      </c>
      <c r="B8" s="8" t="s">
        <v>1</v>
      </c>
      <c r="C8" s="57">
        <f t="shared" ref="C8:E9" si="0">SUM(C10+C17+C35)</f>
        <v>10339240</v>
      </c>
      <c r="D8" s="57">
        <f t="shared" si="0"/>
        <v>3531740</v>
      </c>
      <c r="E8" s="57">
        <f t="shared" si="0"/>
        <v>2384220</v>
      </c>
      <c r="F8" s="57">
        <f>SUM(C8:E8)</f>
        <v>16255200</v>
      </c>
    </row>
    <row r="9" spans="1:7">
      <c r="A9" s="28"/>
      <c r="B9" s="8" t="s">
        <v>0</v>
      </c>
      <c r="C9" s="57">
        <f t="shared" si="0"/>
        <v>3382440</v>
      </c>
      <c r="D9" s="57">
        <f t="shared" si="0"/>
        <v>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SUM(C13:C15)</f>
        <v>1946400</v>
      </c>
      <c r="D10" s="14">
        <f>SUM(D13:D15)</f>
        <v>0</v>
      </c>
      <c r="E10" s="14">
        <f>SUM(E13:E15)</f>
        <v>0</v>
      </c>
      <c r="F10" s="14">
        <f>SUM(C10:E10)</f>
        <v>1946400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SUM(C14+C16)</f>
        <v>377640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 t="s">
        <v>58</v>
      </c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788400</v>
      </c>
      <c r="D13" s="15">
        <v>0</v>
      </c>
      <c r="E13" s="15">
        <v>0</v>
      </c>
      <c r="F13" s="22">
        <f>SUM(C13:E13)</f>
        <v>788400</v>
      </c>
      <c r="G13" s="25">
        <f>F13-C13-D13-E13</f>
        <v>0</v>
      </c>
    </row>
    <row r="14" spans="1:7" s="5" customFormat="1">
      <c r="A14" s="49"/>
      <c r="B14" s="6" t="s">
        <v>0</v>
      </c>
      <c r="C14" s="15">
        <v>142800</v>
      </c>
      <c r="D14" s="15"/>
      <c r="E14" s="15"/>
      <c r="F14" s="22"/>
      <c r="G14" s="25"/>
    </row>
    <row r="15" spans="1:7" s="5" customFormat="1">
      <c r="A15" s="49" t="s">
        <v>16</v>
      </c>
      <c r="B15" s="6" t="s">
        <v>1</v>
      </c>
      <c r="C15" s="15">
        <v>1015200</v>
      </c>
      <c r="D15" s="15">
        <v>0</v>
      </c>
      <c r="E15" s="15">
        <v>0</v>
      </c>
      <c r="F15" s="22">
        <f>SUM(C15:E15)</f>
        <v>1015200</v>
      </c>
      <c r="G15" s="25">
        <f t="shared" ref="G15" si="1">F15-C15-D15-E15</f>
        <v>0</v>
      </c>
    </row>
    <row r="16" spans="1:7" s="5" customFormat="1">
      <c r="A16" s="49"/>
      <c r="B16" s="6" t="s">
        <v>0</v>
      </c>
      <c r="C16" s="15">
        <v>234840</v>
      </c>
      <c r="D16" s="15">
        <v>0</v>
      </c>
      <c r="E16" s="15">
        <v>0</v>
      </c>
      <c r="F16" s="22"/>
      <c r="G16" s="25"/>
    </row>
    <row r="17" spans="1:7" s="4" customFormat="1">
      <c r="A17" s="29" t="s">
        <v>131</v>
      </c>
      <c r="B17" s="7" t="s">
        <v>1</v>
      </c>
      <c r="C17" s="14">
        <f>SUM(C21:C33)</f>
        <v>7226840</v>
      </c>
      <c r="D17" s="14">
        <f>SUM(D21:D33)</f>
        <v>3531740</v>
      </c>
      <c r="E17" s="14">
        <f>SUM(E21:E33)</f>
        <v>2384220</v>
      </c>
      <c r="F17" s="14">
        <f>SUM(C17:E17)</f>
        <v>13142800</v>
      </c>
      <c r="G17" s="24">
        <f>F17-C17-D17-E17</f>
        <v>0</v>
      </c>
    </row>
    <row r="18" spans="1:7" s="4" customFormat="1">
      <c r="A18" s="52"/>
      <c r="B18" s="7" t="s">
        <v>0</v>
      </c>
      <c r="C18" s="14">
        <f>SUM(C22+C25+C27+C30+C32+C34)</f>
        <v>3004800</v>
      </c>
      <c r="D18" s="14"/>
      <c r="E18" s="14"/>
      <c r="F18" s="21"/>
      <c r="G18" s="18"/>
    </row>
    <row r="19" spans="1:7" s="5" customFormat="1">
      <c r="A19" s="48" t="s">
        <v>130</v>
      </c>
      <c r="B19" s="6"/>
      <c r="C19" s="15"/>
      <c r="D19" s="15"/>
      <c r="E19" s="15"/>
      <c r="F19" s="22"/>
      <c r="G19" s="19"/>
    </row>
    <row r="20" spans="1:7" s="5" customFormat="1">
      <c r="A20" s="143" t="s">
        <v>27</v>
      </c>
      <c r="B20" s="6"/>
      <c r="C20" s="15"/>
      <c r="D20" s="15"/>
      <c r="E20" s="15"/>
      <c r="F20" s="22"/>
      <c r="G20" s="19"/>
    </row>
    <row r="21" spans="1:7" s="5" customFormat="1">
      <c r="A21" s="53" t="s">
        <v>21</v>
      </c>
      <c r="B21" s="6" t="s">
        <v>1</v>
      </c>
      <c r="C21" s="15">
        <v>4207140</v>
      </c>
      <c r="D21" s="15">
        <v>3409740</v>
      </c>
      <c r="E21" s="15">
        <v>2359920</v>
      </c>
      <c r="F21" s="22">
        <f>SUM(C21:E21)</f>
        <v>9976800</v>
      </c>
      <c r="G21" s="25">
        <f t="shared" ref="G21:G29" si="2">F21-C21-D21-E21</f>
        <v>0</v>
      </c>
    </row>
    <row r="22" spans="1:7" s="5" customFormat="1">
      <c r="A22" s="53"/>
      <c r="B22" s="6" t="s">
        <v>0</v>
      </c>
      <c r="C22" s="15">
        <v>3004800</v>
      </c>
      <c r="D22" s="15">
        <v>0</v>
      </c>
      <c r="E22" s="15">
        <v>0</v>
      </c>
      <c r="F22" s="22"/>
      <c r="G22" s="25"/>
    </row>
    <row r="23" spans="1:7" s="5" customFormat="1">
      <c r="A23" s="43" t="s">
        <v>28</v>
      </c>
      <c r="B23" s="6"/>
      <c r="C23" s="15"/>
      <c r="D23" s="15"/>
      <c r="E23" s="15"/>
      <c r="F23" s="22"/>
      <c r="G23" s="25"/>
    </row>
    <row r="24" spans="1:7" s="5" customFormat="1">
      <c r="A24" s="54" t="s">
        <v>17</v>
      </c>
      <c r="B24" s="6" t="s">
        <v>1</v>
      </c>
      <c r="C24" s="15">
        <v>0</v>
      </c>
      <c r="D24" s="15">
        <v>30000</v>
      </c>
      <c r="E24" s="15">
        <v>24300</v>
      </c>
      <c r="F24" s="22">
        <f>SUM(C24:E24)</f>
        <v>54300</v>
      </c>
      <c r="G24" s="25">
        <f t="shared" si="2"/>
        <v>0</v>
      </c>
    </row>
    <row r="25" spans="1:7" s="5" customFormat="1">
      <c r="A25" s="54"/>
      <c r="B25" s="6" t="s">
        <v>0</v>
      </c>
      <c r="C25" s="15"/>
      <c r="D25" s="15"/>
      <c r="E25" s="15"/>
      <c r="F25" s="22"/>
      <c r="G25" s="25"/>
    </row>
    <row r="26" spans="1:7" s="5" customFormat="1">
      <c r="A26" s="55" t="s">
        <v>14</v>
      </c>
      <c r="B26" s="6" t="s">
        <v>1</v>
      </c>
      <c r="C26" s="15">
        <v>11000</v>
      </c>
      <c r="D26" s="15">
        <v>11000</v>
      </c>
      <c r="E26" s="15">
        <v>0</v>
      </c>
      <c r="F26" s="22">
        <f>SUM(C26:E26)</f>
        <v>22000</v>
      </c>
      <c r="G26" s="25">
        <f t="shared" si="2"/>
        <v>0</v>
      </c>
    </row>
    <row r="27" spans="1:7" s="5" customFormat="1">
      <c r="A27" s="55"/>
      <c r="B27" s="6" t="s">
        <v>0</v>
      </c>
      <c r="C27" s="15"/>
      <c r="D27" s="15"/>
      <c r="E27" s="15"/>
      <c r="F27" s="22"/>
      <c r="G27" s="25"/>
    </row>
    <row r="28" spans="1:7" s="5" customFormat="1">
      <c r="A28" s="45" t="s">
        <v>132</v>
      </c>
      <c r="B28" s="6"/>
      <c r="C28" s="15"/>
      <c r="D28" s="15"/>
      <c r="E28" s="15"/>
      <c r="F28" s="22"/>
      <c r="G28" s="25"/>
    </row>
    <row r="29" spans="1:7" s="5" customFormat="1">
      <c r="A29" s="56" t="s">
        <v>10</v>
      </c>
      <c r="B29" s="6" t="s">
        <v>1</v>
      </c>
      <c r="C29" s="15">
        <v>0</v>
      </c>
      <c r="D29" s="15">
        <v>66000</v>
      </c>
      <c r="E29" s="15">
        <v>0</v>
      </c>
      <c r="F29" s="102">
        <f>SUM(C29:E29)</f>
        <v>66000</v>
      </c>
      <c r="G29" s="25">
        <f t="shared" si="2"/>
        <v>0</v>
      </c>
    </row>
    <row r="30" spans="1:7" s="5" customFormat="1">
      <c r="A30" s="56"/>
      <c r="B30" s="6" t="s">
        <v>0</v>
      </c>
      <c r="C30" s="15"/>
      <c r="D30" s="15"/>
      <c r="E30" s="15"/>
      <c r="F30" s="102"/>
      <c r="G30" s="25"/>
    </row>
    <row r="31" spans="1:7" s="5" customFormat="1">
      <c r="A31" s="56" t="s">
        <v>9</v>
      </c>
      <c r="B31" s="6" t="s">
        <v>1</v>
      </c>
      <c r="C31" s="15">
        <v>0</v>
      </c>
      <c r="D31" s="15">
        <v>15000</v>
      </c>
      <c r="E31" s="15">
        <v>0</v>
      </c>
      <c r="F31" s="102">
        <f>SUM(C31:E31)</f>
        <v>15000</v>
      </c>
      <c r="G31" s="25">
        <f t="shared" ref="G31" si="3">F31-C31-D31-E31</f>
        <v>0</v>
      </c>
    </row>
    <row r="32" spans="1:7" s="5" customFormat="1">
      <c r="A32" s="207"/>
      <c r="B32" s="6" t="s">
        <v>0</v>
      </c>
      <c r="C32" s="15"/>
      <c r="D32" s="15"/>
      <c r="E32" s="15"/>
      <c r="F32" s="102"/>
      <c r="G32" s="25"/>
    </row>
    <row r="33" spans="1:7" s="5" customFormat="1">
      <c r="A33" s="56" t="s">
        <v>7</v>
      </c>
      <c r="B33" s="6" t="s">
        <v>1</v>
      </c>
      <c r="C33" s="15">
        <v>3900</v>
      </c>
      <c r="D33" s="15">
        <v>0</v>
      </c>
      <c r="E33" s="15">
        <v>0</v>
      </c>
      <c r="F33" s="102">
        <f>SUM(C33:E33)</f>
        <v>3900</v>
      </c>
      <c r="G33" s="25">
        <f t="shared" ref="G33" si="4">F33-C33-D33-E33</f>
        <v>0</v>
      </c>
    </row>
    <row r="34" spans="1:7" s="5" customFormat="1">
      <c r="A34" s="56"/>
      <c r="B34" s="206" t="s">
        <v>0</v>
      </c>
      <c r="C34" s="15"/>
      <c r="D34" s="15"/>
      <c r="E34" s="15"/>
      <c r="F34" s="102"/>
      <c r="G34" s="25"/>
    </row>
    <row r="35" spans="1:7" s="5" customFormat="1">
      <c r="A35" s="208" t="s">
        <v>133</v>
      </c>
      <c r="B35" s="206" t="s">
        <v>1</v>
      </c>
      <c r="C35" s="210">
        <f>SUM(C37)</f>
        <v>1166000</v>
      </c>
      <c r="D35" s="210">
        <f>SUM(D37)</f>
        <v>0</v>
      </c>
      <c r="E35" s="210">
        <f>SUM(E37)</f>
        <v>0</v>
      </c>
      <c r="F35" s="102"/>
      <c r="G35" s="25"/>
    </row>
    <row r="36" spans="1:7" s="5" customFormat="1">
      <c r="A36" s="207"/>
      <c r="B36" s="206" t="s">
        <v>0</v>
      </c>
      <c r="C36" s="15">
        <f>SUM(C38)</f>
        <v>0</v>
      </c>
      <c r="D36" s="15"/>
      <c r="E36" s="15"/>
      <c r="F36" s="102"/>
      <c r="G36" s="25"/>
    </row>
    <row r="37" spans="1:7" s="5" customFormat="1">
      <c r="A37" s="56" t="s">
        <v>228</v>
      </c>
      <c r="B37" s="206" t="s">
        <v>1</v>
      </c>
      <c r="C37" s="15">
        <v>1166000</v>
      </c>
      <c r="D37" s="15">
        <v>0</v>
      </c>
      <c r="E37" s="15">
        <v>0</v>
      </c>
      <c r="F37" s="102"/>
      <c r="G37" s="25"/>
    </row>
    <row r="38" spans="1:7" s="5" customFormat="1">
      <c r="A38" s="215" t="s">
        <v>229</v>
      </c>
      <c r="B38" s="206" t="s">
        <v>0</v>
      </c>
      <c r="C38" s="15"/>
      <c r="D38" s="15"/>
      <c r="E38" s="15"/>
      <c r="F38" s="102"/>
      <c r="G38" s="25"/>
    </row>
    <row r="39" spans="1:7">
      <c r="A39" s="107" t="s">
        <v>140</v>
      </c>
      <c r="B39" s="141"/>
      <c r="C39" s="3"/>
      <c r="D39" s="3"/>
      <c r="E39" s="3"/>
      <c r="F39" s="26"/>
      <c r="G39" s="23"/>
    </row>
    <row r="40" spans="1:7">
      <c r="A40" s="220" t="s">
        <v>167</v>
      </c>
      <c r="B40" s="8" t="s">
        <v>1</v>
      </c>
      <c r="C40" s="57">
        <f t="shared" ref="C40:E41" si="5">SUM(C42+C44+C56)</f>
        <v>495300</v>
      </c>
      <c r="D40" s="57">
        <f t="shared" si="5"/>
        <v>223100</v>
      </c>
      <c r="E40" s="57">
        <f t="shared" si="5"/>
        <v>0</v>
      </c>
      <c r="F40" s="57">
        <f>SUM(C40:E40)</f>
        <v>718400</v>
      </c>
    </row>
    <row r="41" spans="1:7">
      <c r="A41" s="28"/>
      <c r="B41" s="8" t="s">
        <v>0</v>
      </c>
      <c r="C41" s="57">
        <f t="shared" si="5"/>
        <v>0</v>
      </c>
      <c r="D41" s="57">
        <f t="shared" si="5"/>
        <v>0</v>
      </c>
      <c r="E41" s="57">
        <f t="shared" si="5"/>
        <v>0</v>
      </c>
    </row>
    <row r="42" spans="1:7" s="4" customFormat="1">
      <c r="A42" s="29" t="s">
        <v>129</v>
      </c>
      <c r="B42" s="7" t="s">
        <v>1</v>
      </c>
      <c r="C42" s="14">
        <v>0</v>
      </c>
      <c r="D42" s="14">
        <v>0</v>
      </c>
      <c r="E42" s="14">
        <v>0</v>
      </c>
      <c r="F42" s="14">
        <f>SUM(C42:E42)</f>
        <v>0</v>
      </c>
      <c r="G42" s="24">
        <f>F42-C42-D42-E42</f>
        <v>0</v>
      </c>
    </row>
    <row r="43" spans="1:7" s="4" customFormat="1">
      <c r="A43" s="30"/>
      <c r="B43" s="7" t="s">
        <v>0</v>
      </c>
      <c r="C43" s="14"/>
      <c r="D43" s="14">
        <v>0</v>
      </c>
      <c r="E43" s="14"/>
      <c r="F43" s="21"/>
      <c r="G43" s="18"/>
    </row>
    <row r="44" spans="1:7" s="4" customFormat="1">
      <c r="A44" s="29" t="s">
        <v>131</v>
      </c>
      <c r="B44" s="7" t="s">
        <v>1</v>
      </c>
      <c r="C44" s="14">
        <f>SUM(C47:C54)</f>
        <v>445300</v>
      </c>
      <c r="D44" s="14">
        <f>SUM(D47:D54)</f>
        <v>223100</v>
      </c>
      <c r="E44" s="14">
        <f>SUM(E47:E54)</f>
        <v>0</v>
      </c>
      <c r="F44" s="14">
        <f>SUM(F47:F54)</f>
        <v>1082520</v>
      </c>
      <c r="G44" s="24">
        <f>F44-C44-D44-E44</f>
        <v>414120</v>
      </c>
    </row>
    <row r="45" spans="1:7" s="4" customFormat="1">
      <c r="A45" s="52"/>
      <c r="B45" s="7" t="s">
        <v>0</v>
      </c>
      <c r="C45" s="14">
        <f>SUM(C49+C51+C53+C55)</f>
        <v>0</v>
      </c>
      <c r="D45" s="14">
        <v>0</v>
      </c>
      <c r="E45" s="14"/>
      <c r="F45" s="21"/>
      <c r="G45" s="18"/>
    </row>
    <row r="46" spans="1:7" s="5" customFormat="1">
      <c r="A46" s="48" t="s">
        <v>130</v>
      </c>
      <c r="B46" s="6"/>
      <c r="C46" s="15"/>
      <c r="D46" s="15"/>
      <c r="E46" s="15"/>
      <c r="F46" s="22"/>
      <c r="G46" s="19"/>
    </row>
    <row r="47" spans="1:7" s="5" customFormat="1">
      <c r="A47" s="45" t="s">
        <v>132</v>
      </c>
      <c r="B47" s="6"/>
      <c r="C47" s="15"/>
      <c r="D47" s="15"/>
      <c r="E47" s="15"/>
      <c r="F47" s="22"/>
      <c r="G47" s="25"/>
    </row>
    <row r="48" spans="1:7" s="5" customFormat="1">
      <c r="A48" s="55" t="s">
        <v>33</v>
      </c>
      <c r="B48" s="6" t="s">
        <v>1</v>
      </c>
      <c r="C48" s="15">
        <v>123000</v>
      </c>
      <c r="D48" s="15">
        <v>123000</v>
      </c>
      <c r="E48" s="15">
        <v>0</v>
      </c>
      <c r="F48" s="22">
        <f>SUM(C48:E48)</f>
        <v>246000</v>
      </c>
      <c r="G48" s="25">
        <f t="shared" ref="G48:G50" si="6">F48-C48-D48-E48</f>
        <v>0</v>
      </c>
    </row>
    <row r="49" spans="1:7" s="5" customFormat="1">
      <c r="A49" s="55"/>
      <c r="B49" s="6" t="s">
        <v>0</v>
      </c>
      <c r="C49" s="15"/>
      <c r="D49" s="15">
        <v>0</v>
      </c>
      <c r="E49" s="15"/>
      <c r="F49" s="22"/>
      <c r="G49" s="25"/>
    </row>
    <row r="50" spans="1:7" s="5" customFormat="1">
      <c r="A50" s="49" t="s">
        <v>230</v>
      </c>
      <c r="B50" s="6" t="s">
        <v>1</v>
      </c>
      <c r="C50" s="15">
        <v>7800</v>
      </c>
      <c r="D50" s="15">
        <v>0</v>
      </c>
      <c r="E50" s="15">
        <v>0</v>
      </c>
      <c r="F50" s="22">
        <v>421920</v>
      </c>
      <c r="G50" s="25">
        <f t="shared" si="6"/>
        <v>414120</v>
      </c>
    </row>
    <row r="51" spans="1:7" s="5" customFormat="1">
      <c r="A51" s="49"/>
      <c r="B51" s="6" t="s">
        <v>0</v>
      </c>
      <c r="C51" s="15"/>
      <c r="D51" s="15"/>
      <c r="E51" s="15"/>
      <c r="F51" s="22"/>
      <c r="G51" s="25"/>
    </row>
    <row r="52" spans="1:7" s="5" customFormat="1">
      <c r="A52" s="55" t="s">
        <v>34</v>
      </c>
      <c r="B52" s="6" t="s">
        <v>1</v>
      </c>
      <c r="C52" s="15">
        <v>0</v>
      </c>
      <c r="D52" s="15">
        <v>100100</v>
      </c>
      <c r="E52" s="15">
        <v>0</v>
      </c>
      <c r="F52" s="22">
        <f>SUM(C52:E52)</f>
        <v>100100</v>
      </c>
      <c r="G52" s="25">
        <f t="shared" ref="G52:G54" si="7">F52-C52-D52-E52</f>
        <v>0</v>
      </c>
    </row>
    <row r="53" spans="1:7" s="5" customFormat="1">
      <c r="A53" s="55"/>
      <c r="B53" s="6" t="s">
        <v>0</v>
      </c>
      <c r="C53" s="15"/>
      <c r="D53" s="15">
        <v>0</v>
      </c>
      <c r="E53" s="15"/>
      <c r="F53" s="22"/>
      <c r="G53" s="25"/>
    </row>
    <row r="54" spans="1:7" s="5" customFormat="1">
      <c r="A54" s="54" t="s">
        <v>36</v>
      </c>
      <c r="B54" s="6" t="s">
        <v>1</v>
      </c>
      <c r="C54" s="15">
        <v>314500</v>
      </c>
      <c r="D54" s="15">
        <v>0</v>
      </c>
      <c r="E54" s="15">
        <v>0</v>
      </c>
      <c r="F54" s="22">
        <f>SUM(C54:E54)</f>
        <v>314500</v>
      </c>
      <c r="G54" s="25">
        <f t="shared" si="7"/>
        <v>0</v>
      </c>
    </row>
    <row r="55" spans="1:7" s="5" customFormat="1">
      <c r="A55" s="54"/>
      <c r="B55" s="6" t="s">
        <v>0</v>
      </c>
      <c r="C55" s="15"/>
      <c r="D55" s="15">
        <v>0</v>
      </c>
      <c r="E55" s="15"/>
      <c r="F55" s="22"/>
      <c r="G55" s="25"/>
    </row>
    <row r="56" spans="1:7" s="164" customFormat="1">
      <c r="A56" s="208" t="s">
        <v>133</v>
      </c>
      <c r="B56" s="185" t="s">
        <v>1</v>
      </c>
      <c r="C56" s="209">
        <f>SUM(C58)</f>
        <v>50000</v>
      </c>
      <c r="D56" s="186">
        <v>0</v>
      </c>
      <c r="E56" s="186">
        <v>0</v>
      </c>
      <c r="F56" s="186" t="e">
        <f>F59+#REF!</f>
        <v>#REF!</v>
      </c>
      <c r="G56" s="187" t="e">
        <f>F56-C56-D56-E56</f>
        <v>#REF!</v>
      </c>
    </row>
    <row r="57" spans="1:7" s="164" customFormat="1">
      <c r="A57" s="188"/>
      <c r="B57" s="185" t="s">
        <v>0</v>
      </c>
      <c r="C57" s="186">
        <f>SUM(C59)</f>
        <v>0</v>
      </c>
      <c r="D57" s="186">
        <v>0</v>
      </c>
      <c r="E57" s="186">
        <v>0</v>
      </c>
      <c r="F57" s="162"/>
      <c r="G57" s="187">
        <f>F57-C57-D57-E57</f>
        <v>0</v>
      </c>
    </row>
    <row r="58" spans="1:7" s="152" customFormat="1">
      <c r="A58" s="159" t="s">
        <v>37</v>
      </c>
      <c r="B58" s="149" t="s">
        <v>1</v>
      </c>
      <c r="C58" s="218">
        <v>50000</v>
      </c>
      <c r="D58" s="16">
        <v>0</v>
      </c>
      <c r="E58" s="16">
        <v>0</v>
      </c>
      <c r="F58" s="150"/>
      <c r="G58" s="151"/>
    </row>
    <row r="59" spans="1:7">
      <c r="A59" s="36" t="s">
        <v>58</v>
      </c>
      <c r="B59" s="35" t="s">
        <v>0</v>
      </c>
      <c r="C59" s="17">
        <v>0</v>
      </c>
      <c r="D59" s="17">
        <v>0</v>
      </c>
      <c r="E59" s="17">
        <v>0</v>
      </c>
      <c r="F59" s="20">
        <v>50000</v>
      </c>
      <c r="G59" s="25">
        <f>F59-C59-D59-E59</f>
        <v>50000</v>
      </c>
    </row>
    <row r="60" spans="1:7">
      <c r="A60" s="107" t="s">
        <v>140</v>
      </c>
      <c r="B60" s="141"/>
      <c r="C60" s="3"/>
      <c r="D60" s="3"/>
      <c r="E60" s="3"/>
      <c r="F60" s="26"/>
      <c r="G60" s="23"/>
    </row>
    <row r="61" spans="1:7">
      <c r="A61" s="27" t="s">
        <v>168</v>
      </c>
      <c r="B61" s="8" t="s">
        <v>1</v>
      </c>
      <c r="C61" s="57">
        <f>SUM(C63+C65+C89)</f>
        <v>2102798.77</v>
      </c>
      <c r="D61" s="57">
        <f>SUM(D63+D65+D89)</f>
        <v>1639200</v>
      </c>
      <c r="E61" s="57">
        <f>SUM(E63+E65+E89)</f>
        <v>1212700</v>
      </c>
      <c r="F61" s="57">
        <f>SUM(C61:E61)</f>
        <v>4954698.7699999996</v>
      </c>
    </row>
    <row r="62" spans="1:7">
      <c r="A62" s="28"/>
      <c r="B62" s="8" t="s">
        <v>0</v>
      </c>
      <c r="C62" s="57">
        <f>SUM(C64+C90)</f>
        <v>0</v>
      </c>
      <c r="D62" s="57">
        <f>SUM(D64+D90)</f>
        <v>0</v>
      </c>
      <c r="E62" s="57">
        <f>SUM(E64+E90)</f>
        <v>0</v>
      </c>
    </row>
    <row r="63" spans="1:7" s="4" customFormat="1">
      <c r="A63" s="29" t="s">
        <v>129</v>
      </c>
      <c r="B63" s="7" t="s">
        <v>1</v>
      </c>
      <c r="C63" s="14">
        <v>0</v>
      </c>
      <c r="D63" s="14">
        <v>0</v>
      </c>
      <c r="E63" s="14">
        <v>0</v>
      </c>
      <c r="F63" s="14">
        <f>SUM(C63:E63)</f>
        <v>0</v>
      </c>
      <c r="G63" s="24">
        <f>F63-C63-D63-E63</f>
        <v>0</v>
      </c>
    </row>
    <row r="64" spans="1:7" s="4" customFormat="1">
      <c r="A64" s="30"/>
      <c r="B64" s="7" t="s">
        <v>0</v>
      </c>
      <c r="C64" s="14">
        <v>0</v>
      </c>
      <c r="D64" s="14"/>
      <c r="E64" s="14"/>
      <c r="F64" s="21"/>
      <c r="G64" s="18"/>
    </row>
    <row r="65" spans="1:7" s="4" customFormat="1">
      <c r="A65" s="29" t="s">
        <v>131</v>
      </c>
      <c r="B65" s="7" t="s">
        <v>1</v>
      </c>
      <c r="C65" s="14">
        <f>SUM(C69:C87)</f>
        <v>2080798.77</v>
      </c>
      <c r="D65" s="14">
        <f>SUM(D69:D87)</f>
        <v>1620200</v>
      </c>
      <c r="E65" s="14">
        <f>SUM(E69:E87)</f>
        <v>1194000</v>
      </c>
      <c r="F65" s="14">
        <f>SUM(C65:E65)</f>
        <v>4894998.7699999996</v>
      </c>
      <c r="G65" s="24">
        <f>F65-C65-D65-E65</f>
        <v>0</v>
      </c>
    </row>
    <row r="66" spans="1:7" s="4" customFormat="1">
      <c r="A66" s="52"/>
      <c r="B66" s="7" t="s">
        <v>0</v>
      </c>
      <c r="C66" s="14">
        <f>SUM(C70+C72+C74+C77+C80+C82+C84+C86+C88)</f>
        <v>619098.77</v>
      </c>
      <c r="D66" s="14">
        <f>SUM(D70+D72+D74+D77+D80+D82+D84+D86+D88)</f>
        <v>0</v>
      </c>
      <c r="E66" s="14">
        <f>SUM(E70+E72+E74+E77+E80+E82+E84+E86+E88)</f>
        <v>0</v>
      </c>
      <c r="F66" s="21"/>
      <c r="G66" s="18"/>
    </row>
    <row r="67" spans="1:7" s="5" customFormat="1">
      <c r="A67" s="48" t="s">
        <v>130</v>
      </c>
      <c r="B67" s="6"/>
      <c r="C67" s="15"/>
      <c r="D67" s="15" t="s">
        <v>58</v>
      </c>
      <c r="E67" s="15"/>
      <c r="F67" s="22" t="s">
        <v>58</v>
      </c>
      <c r="G67" s="19"/>
    </row>
    <row r="68" spans="1:7" s="5" customFormat="1">
      <c r="A68" s="143" t="s">
        <v>27</v>
      </c>
      <c r="B68" s="6"/>
      <c r="C68" s="15"/>
      <c r="D68" s="15"/>
      <c r="E68" s="15"/>
      <c r="F68" s="22"/>
      <c r="G68" s="19"/>
    </row>
    <row r="69" spans="1:7" s="5" customFormat="1">
      <c r="A69" s="53" t="s">
        <v>31</v>
      </c>
      <c r="B69" s="6" t="s">
        <v>1</v>
      </c>
      <c r="C69" s="15">
        <v>830000</v>
      </c>
      <c r="D69" s="15">
        <v>830000</v>
      </c>
      <c r="E69" s="15">
        <v>830000</v>
      </c>
      <c r="F69" s="22">
        <f>SUM(C69:E69)</f>
        <v>2490000</v>
      </c>
      <c r="G69" s="25">
        <f t="shared" ref="G69:G73" si="8">F69-C69-D69-E69</f>
        <v>0</v>
      </c>
    </row>
    <row r="70" spans="1:7" s="5" customFormat="1">
      <c r="A70" s="53"/>
      <c r="B70" s="6" t="s">
        <v>0</v>
      </c>
      <c r="C70" s="15">
        <v>583624.53</v>
      </c>
      <c r="D70" s="15"/>
      <c r="E70" s="15"/>
      <c r="F70" s="22"/>
      <c r="G70" s="25"/>
    </row>
    <row r="71" spans="1:7" s="5" customFormat="1">
      <c r="A71" s="221" t="s">
        <v>32</v>
      </c>
      <c r="B71" s="6" t="s">
        <v>1</v>
      </c>
      <c r="C71" s="15">
        <v>46000</v>
      </c>
      <c r="D71" s="15">
        <v>46000</v>
      </c>
      <c r="E71" s="15">
        <v>46000</v>
      </c>
      <c r="F71" s="22">
        <f>SUM(C71:E71)</f>
        <v>138000</v>
      </c>
      <c r="G71" s="25">
        <f t="shared" si="8"/>
        <v>0</v>
      </c>
    </row>
    <row r="72" spans="1:7" s="5" customFormat="1">
      <c r="A72" s="53"/>
      <c r="B72" s="6" t="s">
        <v>0</v>
      </c>
      <c r="C72" s="15">
        <v>29474.5</v>
      </c>
      <c r="D72" s="15"/>
      <c r="E72" s="15"/>
      <c r="F72" s="22"/>
      <c r="G72" s="25"/>
    </row>
    <row r="73" spans="1:7" s="5" customFormat="1">
      <c r="A73" s="53" t="s">
        <v>258</v>
      </c>
      <c r="B73" s="6" t="s">
        <v>1</v>
      </c>
      <c r="C73" s="15">
        <v>18000</v>
      </c>
      <c r="D73" s="15">
        <v>18000</v>
      </c>
      <c r="E73" s="15">
        <v>18000</v>
      </c>
      <c r="F73" s="22">
        <f>SUM(C73:E73)</f>
        <v>54000</v>
      </c>
      <c r="G73" s="25">
        <f t="shared" si="8"/>
        <v>0</v>
      </c>
    </row>
    <row r="74" spans="1:7" s="5" customFormat="1">
      <c r="A74" s="53"/>
      <c r="B74" s="6" t="s">
        <v>0</v>
      </c>
      <c r="C74" s="15">
        <v>5999.74</v>
      </c>
      <c r="D74" s="15"/>
      <c r="E74" s="15"/>
      <c r="F74" s="22"/>
      <c r="G74" s="25"/>
    </row>
    <row r="75" spans="1:7" s="5" customFormat="1">
      <c r="A75" s="45" t="s">
        <v>28</v>
      </c>
      <c r="B75" s="6"/>
      <c r="C75" s="15"/>
      <c r="D75" s="15">
        <v>0</v>
      </c>
      <c r="E75" s="15"/>
      <c r="F75" s="22"/>
      <c r="G75" s="25"/>
    </row>
    <row r="76" spans="1:7" s="5" customFormat="1">
      <c r="A76" s="55" t="s">
        <v>17</v>
      </c>
      <c r="B76" s="6" t="s">
        <v>1</v>
      </c>
      <c r="C76" s="15">
        <v>0</v>
      </c>
      <c r="D76" s="15">
        <v>444200</v>
      </c>
      <c r="E76" s="15">
        <v>300000</v>
      </c>
      <c r="F76" s="22">
        <f>SUM(C76:E76)</f>
        <v>744200</v>
      </c>
      <c r="G76" s="25">
        <f t="shared" ref="G76" si="9">F76-C76-D76-E76</f>
        <v>0</v>
      </c>
    </row>
    <row r="77" spans="1:7" s="5" customFormat="1">
      <c r="A77" s="55"/>
      <c r="B77" s="6" t="s">
        <v>0</v>
      </c>
      <c r="C77" s="15">
        <v>0</v>
      </c>
      <c r="D77" s="15"/>
      <c r="E77" s="15"/>
      <c r="F77" s="22"/>
      <c r="G77" s="25"/>
    </row>
    <row r="78" spans="1:7" s="5" customFormat="1">
      <c r="A78" s="45" t="s">
        <v>132</v>
      </c>
      <c r="B78" s="6"/>
      <c r="C78" s="15"/>
      <c r="D78" s="15"/>
      <c r="E78" s="15"/>
      <c r="F78" s="22"/>
      <c r="G78" s="25"/>
    </row>
    <row r="79" spans="1:7" s="5" customFormat="1">
      <c r="A79" s="55" t="s">
        <v>33</v>
      </c>
      <c r="B79" s="6" t="s">
        <v>1</v>
      </c>
      <c r="C79" s="15">
        <v>131500</v>
      </c>
      <c r="D79" s="15">
        <v>131500</v>
      </c>
      <c r="E79" s="15">
        <v>0</v>
      </c>
      <c r="F79" s="22">
        <f t="shared" ref="F79:F89" si="10">SUM(C79:E79)</f>
        <v>263000</v>
      </c>
      <c r="G79" s="25">
        <f t="shared" ref="G79:G87" si="11">F79-C79-D79-E79</f>
        <v>0</v>
      </c>
    </row>
    <row r="80" spans="1:7" s="5" customFormat="1">
      <c r="A80" s="55"/>
      <c r="B80" s="6" t="s">
        <v>0</v>
      </c>
      <c r="C80" s="15">
        <v>0</v>
      </c>
      <c r="D80" s="15"/>
      <c r="E80" s="15"/>
      <c r="F80" s="22"/>
      <c r="G80" s="25"/>
    </row>
    <row r="81" spans="1:7" s="5" customFormat="1">
      <c r="A81" s="157" t="s">
        <v>231</v>
      </c>
      <c r="B81" s="6" t="s">
        <v>1</v>
      </c>
      <c r="C81" s="15">
        <v>70200</v>
      </c>
      <c r="D81" s="15">
        <v>0</v>
      </c>
      <c r="E81" s="15">
        <v>0</v>
      </c>
      <c r="F81" s="22">
        <f t="shared" si="10"/>
        <v>70200</v>
      </c>
      <c r="G81" s="25">
        <f t="shared" si="11"/>
        <v>0</v>
      </c>
    </row>
    <row r="82" spans="1:7" s="5" customFormat="1">
      <c r="A82" s="157"/>
      <c r="B82" s="6" t="s">
        <v>0</v>
      </c>
      <c r="C82" s="15">
        <v>0</v>
      </c>
      <c r="D82" s="15"/>
      <c r="E82" s="15"/>
      <c r="F82" s="22"/>
      <c r="G82" s="25"/>
    </row>
    <row r="83" spans="1:7" s="5" customFormat="1">
      <c r="A83" s="55" t="s">
        <v>34</v>
      </c>
      <c r="B83" s="6" t="s">
        <v>1</v>
      </c>
      <c r="C83" s="15">
        <v>0</v>
      </c>
      <c r="D83" s="15">
        <v>67100</v>
      </c>
      <c r="E83" s="15">
        <v>0</v>
      </c>
      <c r="F83" s="22">
        <f t="shared" si="10"/>
        <v>67100</v>
      </c>
      <c r="G83" s="25">
        <f t="shared" si="11"/>
        <v>0</v>
      </c>
    </row>
    <row r="84" spans="1:7" s="5" customFormat="1">
      <c r="A84" s="232"/>
      <c r="B84" s="6" t="s">
        <v>0</v>
      </c>
      <c r="C84" s="15"/>
      <c r="D84" s="15"/>
      <c r="E84" s="15"/>
      <c r="F84" s="22"/>
      <c r="G84" s="25"/>
    </row>
    <row r="85" spans="1:7" s="5" customFormat="1">
      <c r="A85" s="55" t="s">
        <v>35</v>
      </c>
      <c r="B85" s="6" t="s">
        <v>1</v>
      </c>
      <c r="C85" s="15">
        <v>83400</v>
      </c>
      <c r="D85" s="15">
        <v>83400</v>
      </c>
      <c r="E85" s="15">
        <v>0</v>
      </c>
      <c r="F85" s="22">
        <f t="shared" si="10"/>
        <v>166800</v>
      </c>
      <c r="G85" s="25">
        <f t="shared" si="11"/>
        <v>0</v>
      </c>
    </row>
    <row r="86" spans="1:7" s="5" customFormat="1">
      <c r="A86" s="55"/>
      <c r="B86" s="6" t="s">
        <v>0</v>
      </c>
      <c r="C86" s="15">
        <v>0</v>
      </c>
      <c r="D86" s="15"/>
      <c r="E86" s="15"/>
      <c r="F86" s="22"/>
      <c r="G86" s="25"/>
    </row>
    <row r="87" spans="1:7" s="5" customFormat="1">
      <c r="A87" s="54" t="s">
        <v>36</v>
      </c>
      <c r="B87" s="6" t="s">
        <v>1</v>
      </c>
      <c r="C87" s="15">
        <v>282600</v>
      </c>
      <c r="D87" s="15">
        <v>0</v>
      </c>
      <c r="E87" s="15">
        <v>0</v>
      </c>
      <c r="F87" s="22">
        <f t="shared" si="10"/>
        <v>282600</v>
      </c>
      <c r="G87" s="25">
        <f t="shared" si="11"/>
        <v>0</v>
      </c>
    </row>
    <row r="88" spans="1:7" s="5" customFormat="1">
      <c r="A88" s="54"/>
      <c r="B88" s="6" t="s">
        <v>0</v>
      </c>
      <c r="C88" s="15">
        <v>0</v>
      </c>
      <c r="D88" s="15"/>
      <c r="E88" s="15"/>
      <c r="F88" s="22"/>
      <c r="G88" s="25"/>
    </row>
    <row r="89" spans="1:7" s="164" customFormat="1">
      <c r="A89" s="208" t="s">
        <v>133</v>
      </c>
      <c r="B89" s="185" t="s">
        <v>1</v>
      </c>
      <c r="C89" s="186">
        <f>SUM(C91)</f>
        <v>22000</v>
      </c>
      <c r="D89" s="186">
        <f>SUM(D91)</f>
        <v>19000</v>
      </c>
      <c r="E89" s="186">
        <f>SUM(E91)</f>
        <v>18700</v>
      </c>
      <c r="F89" s="186">
        <f t="shared" si="10"/>
        <v>59700</v>
      </c>
      <c r="G89" s="187">
        <f>F89-C89-D89-E89</f>
        <v>0</v>
      </c>
    </row>
    <row r="90" spans="1:7" s="164" customFormat="1">
      <c r="A90" s="188"/>
      <c r="B90" s="185" t="s">
        <v>0</v>
      </c>
      <c r="C90" s="186">
        <f>C92</f>
        <v>0</v>
      </c>
      <c r="D90" s="186"/>
      <c r="E90" s="186"/>
      <c r="F90" s="162"/>
      <c r="G90" s="187">
        <f>F90-C90-D90-E90</f>
        <v>0</v>
      </c>
    </row>
    <row r="91" spans="1:7">
      <c r="A91" s="34" t="s">
        <v>38</v>
      </c>
      <c r="B91" s="35" t="s">
        <v>1</v>
      </c>
      <c r="C91" s="17">
        <v>22000</v>
      </c>
      <c r="D91" s="17">
        <v>19000</v>
      </c>
      <c r="E91" s="17">
        <v>18700</v>
      </c>
      <c r="F91" s="20">
        <f>SUM(C91:E91)</f>
        <v>59700</v>
      </c>
      <c r="G91" s="25">
        <f>F91-C91-D91-E91</f>
        <v>0</v>
      </c>
    </row>
    <row r="92" spans="1:7">
      <c r="A92" s="36" t="s">
        <v>2</v>
      </c>
      <c r="B92" s="35" t="s">
        <v>0</v>
      </c>
      <c r="C92" s="17">
        <v>0</v>
      </c>
      <c r="D92" s="17"/>
      <c r="E92" s="17"/>
    </row>
    <row r="93" spans="1:7">
      <c r="A93" s="245" t="s">
        <v>108</v>
      </c>
      <c r="B93" s="3" t="s">
        <v>1</v>
      </c>
      <c r="C93" s="58">
        <f>SUM(C8+C40+C61)</f>
        <v>12937338.77</v>
      </c>
      <c r="D93" s="58">
        <f>SUM(D8+D40+D61)</f>
        <v>5394040</v>
      </c>
      <c r="E93" s="58">
        <f>SUM(E8+E40+E61)</f>
        <v>3596920</v>
      </c>
      <c r="F93" s="20">
        <f>SUM(C93:E93)</f>
        <v>21928298.77</v>
      </c>
    </row>
    <row r="94" spans="1:7">
      <c r="A94" s="246"/>
      <c r="B94" s="3" t="s">
        <v>0</v>
      </c>
      <c r="C94" s="58">
        <f>SUM(C9+C11+C18+C36+C41+C45+C57+C62+C66+C90)</f>
        <v>7383978.7699999996</v>
      </c>
      <c r="D94" s="58">
        <f>SUM(D9+D11+D18+D36+D41+D45+D57+D62+D66+D90)</f>
        <v>0</v>
      </c>
      <c r="E94" s="58">
        <f>SUM(E9+E11+E18+E36+E41+E45+E57+E62+E66+E90)</f>
        <v>0</v>
      </c>
    </row>
    <row r="95" spans="1:7">
      <c r="D95" t="s">
        <v>58</v>
      </c>
    </row>
    <row r="96" spans="1:7" ht="20.25" customHeight="1">
      <c r="A96" s="2" t="s">
        <v>58</v>
      </c>
      <c r="C96" s="164"/>
      <c r="D96" s="58">
        <f>SUM(D11+D13+D20+D38+D43+D47+D59+D64+D68+D92)</f>
        <v>0</v>
      </c>
      <c r="E96" s="164"/>
    </row>
    <row r="97" spans="3:4">
      <c r="C97" t="s">
        <v>58</v>
      </c>
      <c r="D97" s="161" t="s">
        <v>58</v>
      </c>
    </row>
  </sheetData>
  <mergeCells count="6">
    <mergeCell ref="A93:A94"/>
    <mergeCell ref="E5:E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view="pageBreakPreview" zoomScale="80" zoomScaleSheetLayoutView="80" workbookViewId="0">
      <pane xSplit="2" ySplit="9" topLeftCell="C28" activePane="bottomRight" state="frozen"/>
      <selection pane="topRight" activeCell="C1" sqref="C1"/>
      <selection pane="bottomLeft" activeCell="A9" sqref="A9"/>
      <selection pane="bottomRight" activeCell="C23" sqref="C23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164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165</v>
      </c>
      <c r="B8" s="8" t="s">
        <v>1</v>
      </c>
      <c r="C8" s="57">
        <f>C10+C17+C41</f>
        <v>3578704</v>
      </c>
      <c r="D8" s="57">
        <f>D10+D17+D41</f>
        <v>1248400</v>
      </c>
      <c r="E8" s="57">
        <f>E10+E17+E41</f>
        <v>588900</v>
      </c>
      <c r="F8" s="57">
        <f>SUM(C8:E8)</f>
        <v>5416004</v>
      </c>
    </row>
    <row r="9" spans="1:7">
      <c r="A9" s="28"/>
      <c r="B9" s="8" t="s">
        <v>0</v>
      </c>
      <c r="C9" s="57">
        <f>SUM(C11+C18+C42)</f>
        <v>844384</v>
      </c>
      <c r="D9" s="57">
        <f>SUM(D11+D18+D42)</f>
        <v>0</v>
      </c>
      <c r="E9" s="57">
        <f>SUM(E11+E18+E42)</f>
        <v>0</v>
      </c>
    </row>
    <row r="10" spans="1:7" s="4" customFormat="1">
      <c r="A10" s="29" t="s">
        <v>129</v>
      </c>
      <c r="B10" s="7" t="s">
        <v>1</v>
      </c>
      <c r="C10" s="14">
        <f>SUM(C13:C15)</f>
        <v>797544</v>
      </c>
      <c r="D10" s="14">
        <f>SUM(D13:D15)</f>
        <v>0</v>
      </c>
      <c r="E10" s="14">
        <f>SUM(E13:E15)</f>
        <v>0</v>
      </c>
      <c r="F10" s="14">
        <f>SUM(C10:E10)</f>
        <v>797544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SUM(C14+C16)</f>
        <v>153624</v>
      </c>
      <c r="D11" s="14">
        <f>SUM(D14+D16)</f>
        <v>0</v>
      </c>
      <c r="E11" s="14">
        <f>SUM(E14+E16)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326400</v>
      </c>
      <c r="D13" s="15">
        <v>0</v>
      </c>
      <c r="E13" s="15">
        <v>0</v>
      </c>
      <c r="F13" s="22">
        <f>SUM(C13:E13)</f>
        <v>326400</v>
      </c>
      <c r="G13" s="25">
        <f>F13-C13-D13-E13</f>
        <v>0</v>
      </c>
    </row>
    <row r="14" spans="1:7" s="5" customFormat="1">
      <c r="A14" s="49"/>
      <c r="B14" s="6" t="s">
        <v>0</v>
      </c>
      <c r="C14" s="15">
        <v>67944</v>
      </c>
      <c r="D14" s="15"/>
      <c r="E14" s="15"/>
      <c r="F14" s="22"/>
      <c r="G14" s="25"/>
    </row>
    <row r="15" spans="1:7" s="5" customFormat="1">
      <c r="A15" s="49" t="s">
        <v>16</v>
      </c>
      <c r="B15" s="6" t="s">
        <v>1</v>
      </c>
      <c r="C15" s="15">
        <v>403200</v>
      </c>
      <c r="D15" s="15">
        <v>0</v>
      </c>
      <c r="E15" s="15">
        <v>0</v>
      </c>
      <c r="F15" s="22">
        <f>SUM(C15:E15)</f>
        <v>403200</v>
      </c>
      <c r="G15" s="25">
        <f t="shared" ref="G15" si="0">F15-C15-D15-E15</f>
        <v>0</v>
      </c>
    </row>
    <row r="16" spans="1:7" s="5" customFormat="1">
      <c r="A16" s="49"/>
      <c r="B16" s="6" t="s">
        <v>0</v>
      </c>
      <c r="C16" s="15">
        <v>85680</v>
      </c>
      <c r="D16" s="15"/>
      <c r="E16" s="15"/>
      <c r="F16" s="22"/>
      <c r="G16" s="25"/>
    </row>
    <row r="17" spans="1:7" s="4" customFormat="1">
      <c r="A17" s="29" t="s">
        <v>131</v>
      </c>
      <c r="B17" s="7" t="s">
        <v>1</v>
      </c>
      <c r="C17" s="14">
        <f>SUM(C21:C39)</f>
        <v>1781160</v>
      </c>
      <c r="D17" s="14">
        <f>SUM(D21:D39)</f>
        <v>1248400</v>
      </c>
      <c r="E17" s="14">
        <f>SUM(E21:E39)</f>
        <v>588900</v>
      </c>
      <c r="F17" s="14">
        <f>SUM(F21:F39)</f>
        <v>4409800</v>
      </c>
      <c r="G17" s="24">
        <f>F17-C17-D17-E17</f>
        <v>791340</v>
      </c>
    </row>
    <row r="18" spans="1:7" s="4" customFormat="1">
      <c r="A18" s="30" t="s">
        <v>58</v>
      </c>
      <c r="B18" s="7" t="s">
        <v>0</v>
      </c>
      <c r="C18" s="14">
        <f>SUM(C22+C25+C27+C30+C32+C34+C36+C38+C40)</f>
        <v>690760</v>
      </c>
      <c r="D18" s="14">
        <f>SUM(D22+D25+D27+D30+D32+D34+D36+D38+D40)</f>
        <v>0</v>
      </c>
      <c r="E18" s="14">
        <f>SUM(E22+E25+E27+E30+E32+E34+E36+E38+E40)</f>
        <v>0</v>
      </c>
      <c r="F18" s="21"/>
      <c r="G18" s="18"/>
    </row>
    <row r="19" spans="1:7" s="4" customFormat="1">
      <c r="A19" s="48" t="s">
        <v>130</v>
      </c>
      <c r="B19" s="128"/>
      <c r="C19" s="139"/>
      <c r="D19" s="139"/>
      <c r="E19" s="139"/>
      <c r="F19" s="21"/>
      <c r="G19" s="18"/>
    </row>
    <row r="20" spans="1:7" s="5" customFormat="1">
      <c r="A20" s="131" t="s">
        <v>27</v>
      </c>
      <c r="B20" s="132"/>
      <c r="C20" s="133"/>
      <c r="D20" s="133"/>
      <c r="E20" s="133"/>
      <c r="F20" s="22"/>
      <c r="G20" s="19"/>
    </row>
    <row r="21" spans="1:7" s="5" customFormat="1">
      <c r="A21" s="53" t="s">
        <v>21</v>
      </c>
      <c r="B21" s="6" t="s">
        <v>1</v>
      </c>
      <c r="C21" s="15">
        <v>600000</v>
      </c>
      <c r="D21" s="15">
        <v>560000</v>
      </c>
      <c r="E21" s="15">
        <v>285600</v>
      </c>
      <c r="F21" s="22">
        <f>SUM(C21:E21)</f>
        <v>1445600</v>
      </c>
      <c r="G21" s="25">
        <f t="shared" ref="G21:G41" si="1">F21-C21-D21-E21</f>
        <v>0</v>
      </c>
    </row>
    <row r="22" spans="1:7" s="5" customFormat="1">
      <c r="A22" s="53"/>
      <c r="B22" s="6" t="s">
        <v>0</v>
      </c>
      <c r="C22" s="15">
        <v>440760</v>
      </c>
      <c r="D22" s="15"/>
      <c r="E22" s="15"/>
      <c r="F22" s="22"/>
      <c r="G22" s="25"/>
    </row>
    <row r="23" spans="1:7" s="5" customFormat="1">
      <c r="A23" s="43" t="s">
        <v>28</v>
      </c>
      <c r="B23" s="6"/>
      <c r="C23" s="15"/>
      <c r="D23" s="15"/>
      <c r="E23" s="15"/>
      <c r="F23" s="22">
        <f>SUM(F24:F26)</f>
        <v>243300</v>
      </c>
      <c r="G23" s="25"/>
    </row>
    <row r="24" spans="1:7" s="5" customFormat="1">
      <c r="A24" s="54" t="s">
        <v>17</v>
      </c>
      <c r="B24" s="6" t="s">
        <v>1</v>
      </c>
      <c r="C24" s="15">
        <v>0</v>
      </c>
      <c r="D24" s="15">
        <v>100000</v>
      </c>
      <c r="E24" s="15">
        <v>103300</v>
      </c>
      <c r="F24" s="22">
        <f>SUM(C24:E24)</f>
        <v>203300</v>
      </c>
      <c r="G24" s="25">
        <f t="shared" si="1"/>
        <v>0</v>
      </c>
    </row>
    <row r="25" spans="1:7" s="5" customFormat="1">
      <c r="A25" s="54"/>
      <c r="B25" s="6" t="s">
        <v>0</v>
      </c>
      <c r="C25" s="15"/>
      <c r="D25" s="15"/>
      <c r="E25" s="15"/>
      <c r="F25" s="22"/>
      <c r="G25" s="25"/>
    </row>
    <row r="26" spans="1:7" s="5" customFormat="1">
      <c r="A26" s="59" t="s">
        <v>45</v>
      </c>
      <c r="B26" s="6" t="s">
        <v>1</v>
      </c>
      <c r="C26" s="15">
        <v>0</v>
      </c>
      <c r="D26" s="15">
        <v>20000</v>
      </c>
      <c r="E26" s="15">
        <v>20000</v>
      </c>
      <c r="F26" s="22">
        <f>SUM(C26:E26)</f>
        <v>40000</v>
      </c>
      <c r="G26" s="25">
        <f t="shared" si="1"/>
        <v>0</v>
      </c>
    </row>
    <row r="27" spans="1:7" s="5" customFormat="1">
      <c r="A27" s="59"/>
      <c r="B27" s="6" t="s">
        <v>0</v>
      </c>
      <c r="C27" s="15"/>
      <c r="D27" s="15"/>
      <c r="E27" s="15"/>
      <c r="F27" s="22"/>
      <c r="G27" s="25"/>
    </row>
    <row r="28" spans="1:7" s="5" customFormat="1">
      <c r="A28" s="43" t="s">
        <v>132</v>
      </c>
      <c r="B28" s="6"/>
      <c r="C28" s="15"/>
      <c r="D28" s="15"/>
      <c r="E28" s="15"/>
      <c r="F28" s="22">
        <f>SUM(F29:F39)</f>
        <v>1238800</v>
      </c>
      <c r="G28" s="25"/>
    </row>
    <row r="29" spans="1:7" s="5" customFormat="1">
      <c r="A29" s="59" t="s">
        <v>8</v>
      </c>
      <c r="B29" s="6" t="s">
        <v>1</v>
      </c>
      <c r="C29" s="15">
        <v>0</v>
      </c>
      <c r="D29" s="15">
        <v>150000</v>
      </c>
      <c r="E29" s="15">
        <v>154800</v>
      </c>
      <c r="F29" s="144">
        <f t="shared" ref="F29:F39" si="2">SUM(C29:E29)</f>
        <v>304800</v>
      </c>
      <c r="G29" s="25">
        <f t="shared" ref="G29" si="3">F29-C29-D29-E29</f>
        <v>0</v>
      </c>
    </row>
    <row r="30" spans="1:7" s="5" customFormat="1">
      <c r="A30" s="59"/>
      <c r="B30" s="6" t="s">
        <v>0</v>
      </c>
      <c r="C30" s="15"/>
      <c r="D30" s="15"/>
      <c r="E30" s="15"/>
      <c r="F30" s="144"/>
      <c r="G30" s="25"/>
    </row>
    <row r="31" spans="1:7" s="5" customFormat="1">
      <c r="A31" s="59" t="s">
        <v>215</v>
      </c>
      <c r="B31" s="6" t="s">
        <v>1</v>
      </c>
      <c r="C31" s="15">
        <v>0</v>
      </c>
      <c r="D31" s="15">
        <v>0</v>
      </c>
      <c r="E31" s="15">
        <v>25200</v>
      </c>
      <c r="F31" s="144">
        <f t="shared" si="2"/>
        <v>25200</v>
      </c>
      <c r="G31" s="25">
        <f t="shared" ref="G31" si="4">F31-C31-D31-E31</f>
        <v>0</v>
      </c>
    </row>
    <row r="32" spans="1:7" s="5" customFormat="1">
      <c r="A32" s="233"/>
      <c r="B32" s="6" t="s">
        <v>0</v>
      </c>
      <c r="C32" s="15"/>
      <c r="D32" s="15"/>
      <c r="E32" s="15"/>
      <c r="F32" s="144"/>
      <c r="G32" s="25"/>
    </row>
    <row r="33" spans="1:7" s="5" customFormat="1">
      <c r="A33" s="59" t="s">
        <v>41</v>
      </c>
      <c r="B33" s="6" t="s">
        <v>1</v>
      </c>
      <c r="C33" s="15">
        <v>250000</v>
      </c>
      <c r="D33" s="15">
        <v>350000</v>
      </c>
      <c r="E33" s="15">
        <v>0</v>
      </c>
      <c r="F33" s="144">
        <f t="shared" si="2"/>
        <v>600000</v>
      </c>
      <c r="G33" s="25">
        <f t="shared" si="1"/>
        <v>0</v>
      </c>
    </row>
    <row r="34" spans="1:7" s="5" customFormat="1">
      <c r="A34" s="59"/>
      <c r="B34" s="6" t="s">
        <v>0</v>
      </c>
      <c r="C34" s="15">
        <v>250000</v>
      </c>
      <c r="D34" s="15"/>
      <c r="E34" s="15"/>
      <c r="F34" s="144"/>
      <c r="G34" s="25"/>
    </row>
    <row r="35" spans="1:7" s="5" customFormat="1">
      <c r="A35" s="49" t="s">
        <v>7</v>
      </c>
      <c r="B35" s="6" t="s">
        <v>1</v>
      </c>
      <c r="C35" s="15">
        <v>19500</v>
      </c>
      <c r="D35" s="15">
        <v>0</v>
      </c>
      <c r="E35" s="15">
        <v>0</v>
      </c>
      <c r="F35" s="22">
        <f t="shared" si="2"/>
        <v>19500</v>
      </c>
      <c r="G35" s="25">
        <f t="shared" si="1"/>
        <v>0</v>
      </c>
    </row>
    <row r="36" spans="1:7" s="5" customFormat="1">
      <c r="A36" s="49"/>
      <c r="B36" s="6" t="s">
        <v>0</v>
      </c>
      <c r="C36" s="15"/>
      <c r="D36" s="15"/>
      <c r="E36" s="15"/>
      <c r="F36" s="22"/>
      <c r="G36" s="25"/>
    </row>
    <row r="37" spans="1:7" s="5" customFormat="1">
      <c r="A37" s="55" t="s">
        <v>34</v>
      </c>
      <c r="B37" s="6" t="s">
        <v>1</v>
      </c>
      <c r="C37" s="15">
        <v>0</v>
      </c>
      <c r="D37" s="15">
        <v>68400</v>
      </c>
      <c r="E37" s="15">
        <v>0</v>
      </c>
      <c r="F37" s="144">
        <f t="shared" si="2"/>
        <v>68400</v>
      </c>
      <c r="G37" s="25">
        <f t="shared" si="1"/>
        <v>0</v>
      </c>
    </row>
    <row r="38" spans="1:7" s="5" customFormat="1">
      <c r="A38" s="55"/>
      <c r="B38" s="6" t="s">
        <v>0</v>
      </c>
      <c r="C38" s="15"/>
      <c r="D38" s="15"/>
      <c r="E38" s="15"/>
      <c r="F38" s="144"/>
      <c r="G38" s="25"/>
    </row>
    <row r="39" spans="1:7" s="5" customFormat="1">
      <c r="A39" s="225" t="s">
        <v>36</v>
      </c>
      <c r="B39" s="6" t="s">
        <v>1</v>
      </c>
      <c r="C39" s="15">
        <v>220900</v>
      </c>
      <c r="D39" s="15">
        <v>0</v>
      </c>
      <c r="E39" s="15">
        <v>0</v>
      </c>
      <c r="F39" s="144">
        <f t="shared" si="2"/>
        <v>220900</v>
      </c>
      <c r="G39" s="25">
        <f t="shared" si="1"/>
        <v>0</v>
      </c>
    </row>
    <row r="40" spans="1:7" s="5" customFormat="1">
      <c r="A40" s="54"/>
      <c r="B40" s="6" t="s">
        <v>0</v>
      </c>
      <c r="C40" s="15"/>
      <c r="D40" s="15"/>
      <c r="E40" s="15"/>
      <c r="F40" s="144"/>
      <c r="G40" s="25"/>
    </row>
    <row r="41" spans="1:7" s="4" customFormat="1">
      <c r="A41" s="31" t="s">
        <v>133</v>
      </c>
      <c r="B41" s="32" t="s">
        <v>1</v>
      </c>
      <c r="C41" s="16">
        <f>C43</f>
        <v>1000000</v>
      </c>
      <c r="D41" s="16">
        <f t="shared" ref="D41:E41" si="5">D43</f>
        <v>0</v>
      </c>
      <c r="E41" s="16">
        <f t="shared" si="5"/>
        <v>0</v>
      </c>
      <c r="F41" s="16">
        <f>F43</f>
        <v>1000000</v>
      </c>
      <c r="G41" s="24">
        <f t="shared" si="1"/>
        <v>0</v>
      </c>
    </row>
    <row r="42" spans="1:7" s="4" customFormat="1">
      <c r="A42" s="33"/>
      <c r="B42" s="7" t="s">
        <v>0</v>
      </c>
      <c r="C42" s="16">
        <f>SUM(C44)</f>
        <v>0</v>
      </c>
      <c r="D42" s="16">
        <f>SUM(D44)</f>
        <v>0</v>
      </c>
      <c r="E42" s="16">
        <f>SUM(E44)</f>
        <v>0</v>
      </c>
      <c r="F42" s="21"/>
      <c r="G42" s="18"/>
    </row>
    <row r="43" spans="1:7">
      <c r="A43" s="34" t="s">
        <v>39</v>
      </c>
      <c r="B43" s="35" t="s">
        <v>1</v>
      </c>
      <c r="C43" s="17">
        <v>1000000</v>
      </c>
      <c r="D43" s="17">
        <v>0</v>
      </c>
      <c r="E43" s="17">
        <v>0</v>
      </c>
      <c r="F43" s="20">
        <f>SUM(C43:E43)</f>
        <v>1000000</v>
      </c>
      <c r="G43" s="25">
        <f>F43-C43-D43-E43</f>
        <v>0</v>
      </c>
    </row>
    <row r="44" spans="1:7">
      <c r="A44" s="36" t="s">
        <v>2</v>
      </c>
      <c r="B44" s="35" t="s">
        <v>0</v>
      </c>
      <c r="C44" s="17"/>
      <c r="D44" s="17"/>
      <c r="E44" s="17"/>
    </row>
    <row r="45" spans="1:7">
      <c r="A45" s="245" t="s">
        <v>108</v>
      </c>
      <c r="B45" s="3" t="s">
        <v>1</v>
      </c>
      <c r="C45" s="58">
        <f>C8</f>
        <v>3578704</v>
      </c>
      <c r="D45" s="58">
        <f t="shared" ref="D45:E45" si="6">D8</f>
        <v>1248400</v>
      </c>
      <c r="E45" s="58">
        <f t="shared" si="6"/>
        <v>588900</v>
      </c>
      <c r="F45" s="20">
        <f>SUM(C45:E45)</f>
        <v>5416004</v>
      </c>
    </row>
    <row r="46" spans="1:7">
      <c r="A46" s="246"/>
      <c r="B46" s="3" t="s">
        <v>0</v>
      </c>
      <c r="C46" s="58">
        <f>SUM(C9)</f>
        <v>844384</v>
      </c>
      <c r="D46" s="58">
        <f>SUM(D9)</f>
        <v>0</v>
      </c>
      <c r="E46" s="58">
        <f>SUM(E9)</f>
        <v>0</v>
      </c>
    </row>
    <row r="47" spans="1:7" ht="13.5" customHeight="1">
      <c r="A47" s="1"/>
      <c r="B47" s="1"/>
    </row>
    <row r="48" spans="1:7" ht="13.5" customHeight="1">
      <c r="A48" s="1"/>
      <c r="B48" s="1"/>
    </row>
    <row r="49" spans="1:2" ht="28.5" customHeight="1">
      <c r="A49" s="2" t="s">
        <v>58</v>
      </c>
      <c r="B49" s="1"/>
    </row>
    <row r="51" spans="1:2" ht="13.5" customHeight="1">
      <c r="A51" s="1"/>
      <c r="B51" s="1"/>
    </row>
  </sheetData>
  <mergeCells count="6">
    <mergeCell ref="A1:C1"/>
    <mergeCell ref="E5:E6"/>
    <mergeCell ref="A45:A46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58"/>
  <sheetViews>
    <sheetView view="pageBreakPreview" zoomScale="80" zoomScaleSheetLayoutView="80" workbookViewId="0">
      <pane xSplit="2" ySplit="9" topLeftCell="C34" activePane="bottomRight" state="frozen"/>
      <selection pane="topRight" activeCell="C1" sqref="C1"/>
      <selection pane="bottomLeft" activeCell="A9" sqref="A9"/>
      <selection pane="bottomRight" activeCell="C41" sqref="C41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208</v>
      </c>
      <c r="B2" s="13"/>
    </row>
    <row r="3" spans="1:7">
      <c r="A3" s="134" t="s">
        <v>137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146</v>
      </c>
      <c r="B8" s="8" t="s">
        <v>1</v>
      </c>
      <c r="C8" s="57">
        <f>SUM(C10+C12)</f>
        <v>2210680</v>
      </c>
      <c r="D8" s="57">
        <f>SUM(D10+D12)</f>
        <v>1292000</v>
      </c>
      <c r="E8" s="57">
        <f>SUM(E10+E12)</f>
        <v>1075300</v>
      </c>
      <c r="F8" s="57">
        <f>SUM(C8:E8)</f>
        <v>4577980</v>
      </c>
    </row>
    <row r="9" spans="1:7">
      <c r="A9" s="28"/>
      <c r="B9" s="8" t="s">
        <v>0</v>
      </c>
      <c r="C9" s="57">
        <f>SUM(C13)</f>
        <v>916480</v>
      </c>
      <c r="D9" s="57">
        <f>SUM(D13)</f>
        <v>0</v>
      </c>
      <c r="E9" s="57">
        <f>SUM(E13)</f>
        <v>0</v>
      </c>
    </row>
    <row r="10" spans="1:7" s="4" customFormat="1">
      <c r="A10" s="29" t="s">
        <v>129</v>
      </c>
      <c r="B10" s="7" t="s">
        <v>1</v>
      </c>
      <c r="C10" s="14">
        <v>0</v>
      </c>
      <c r="D10" s="14">
        <v>0</v>
      </c>
      <c r="E10" s="14">
        <v>0</v>
      </c>
      <c r="F10" s="14">
        <f>SUM(C10:E10)</f>
        <v>0</v>
      </c>
      <c r="G10" s="24">
        <f>F10-C10-D10-E10</f>
        <v>0</v>
      </c>
    </row>
    <row r="11" spans="1:7" s="4" customFormat="1">
      <c r="A11" s="30"/>
      <c r="B11" s="7" t="s">
        <v>0</v>
      </c>
      <c r="C11" s="14"/>
      <c r="D11" s="14"/>
      <c r="E11" s="14"/>
      <c r="F11" s="155"/>
      <c r="G11" s="24"/>
    </row>
    <row r="12" spans="1:7" s="4" customFormat="1">
      <c r="A12" s="29" t="s">
        <v>131</v>
      </c>
      <c r="B12" s="7" t="s">
        <v>1</v>
      </c>
      <c r="C12" s="14">
        <f>SUM(C16:C29)</f>
        <v>2210680</v>
      </c>
      <c r="D12" s="14">
        <f>SUM(D16:D27)</f>
        <v>1292000</v>
      </c>
      <c r="E12" s="14">
        <f>SUM(E16:E27)</f>
        <v>1075300</v>
      </c>
      <c r="F12" s="14">
        <f>SUM(C12:E12)</f>
        <v>4577980</v>
      </c>
      <c r="G12" s="24">
        <f>F12-C12-D12-E12</f>
        <v>0</v>
      </c>
    </row>
    <row r="13" spans="1:7" s="4" customFormat="1">
      <c r="A13" s="30" t="s">
        <v>58</v>
      </c>
      <c r="B13" s="7" t="s">
        <v>0</v>
      </c>
      <c r="C13" s="14">
        <f>SUM(C17+C20+C22+C24+C26+C28+C30)</f>
        <v>916480</v>
      </c>
      <c r="D13" s="14">
        <f>SUM(D17+D20+D22+D24+D26+D28+D30)</f>
        <v>0</v>
      </c>
      <c r="E13" s="14">
        <f>SUM(E17+E20+E22+E24+E26+E28+E30)</f>
        <v>0</v>
      </c>
      <c r="F13" s="21"/>
      <c r="G13" s="18"/>
    </row>
    <row r="14" spans="1:7" s="5" customFormat="1">
      <c r="A14" s="48" t="s">
        <v>130</v>
      </c>
      <c r="B14" s="6"/>
      <c r="C14" s="15"/>
      <c r="D14" s="15"/>
      <c r="E14" s="15"/>
      <c r="F14" s="22"/>
      <c r="G14" s="19"/>
    </row>
    <row r="15" spans="1:7" s="5" customFormat="1">
      <c r="A15" s="143" t="s">
        <v>27</v>
      </c>
      <c r="B15" s="6"/>
      <c r="C15" s="15"/>
      <c r="D15" s="15"/>
      <c r="E15" s="15"/>
      <c r="F15" s="22">
        <f>SUM(F16:F16)</f>
        <v>3432300</v>
      </c>
      <c r="G15" s="19"/>
    </row>
    <row r="16" spans="1:7" s="5" customFormat="1">
      <c r="A16" s="44" t="s">
        <v>21</v>
      </c>
      <c r="B16" s="6" t="s">
        <v>1</v>
      </c>
      <c r="C16" s="15">
        <v>1200000</v>
      </c>
      <c r="D16" s="15">
        <v>1200000</v>
      </c>
      <c r="E16" s="15">
        <v>1032300</v>
      </c>
      <c r="F16" s="22">
        <f>SUM(C16:E16)</f>
        <v>3432300</v>
      </c>
      <c r="G16" s="25">
        <f t="shared" ref="G16:G27" si="0">F16-C16-D16-E16</f>
        <v>0</v>
      </c>
    </row>
    <row r="17" spans="1:7" s="5" customFormat="1">
      <c r="A17" s="44"/>
      <c r="B17" s="6" t="s">
        <v>0</v>
      </c>
      <c r="C17" s="15">
        <v>864600</v>
      </c>
      <c r="D17" s="15">
        <v>0</v>
      </c>
      <c r="E17" s="15">
        <v>0</v>
      </c>
      <c r="F17" s="22"/>
      <c r="G17" s="25"/>
    </row>
    <row r="18" spans="1:7" s="5" customFormat="1">
      <c r="A18" s="43" t="s">
        <v>28</v>
      </c>
      <c r="B18" s="6"/>
      <c r="C18" s="15"/>
      <c r="D18" s="15"/>
      <c r="E18" s="15"/>
      <c r="F18" s="22">
        <f>SUM(F19:F21)</f>
        <v>90600</v>
      </c>
      <c r="G18" s="25"/>
    </row>
    <row r="19" spans="1:7" s="5" customFormat="1">
      <c r="A19" s="44" t="s">
        <v>17</v>
      </c>
      <c r="B19" s="6" t="s">
        <v>1</v>
      </c>
      <c r="C19" s="15">
        <v>26000</v>
      </c>
      <c r="D19" s="15">
        <v>26600</v>
      </c>
      <c r="E19" s="15">
        <v>26000</v>
      </c>
      <c r="F19" s="22">
        <f>SUM(C19:E19)</f>
        <v>78600</v>
      </c>
      <c r="G19" s="25">
        <f t="shared" si="0"/>
        <v>0</v>
      </c>
    </row>
    <row r="20" spans="1:7" s="5" customFormat="1">
      <c r="A20" s="44"/>
      <c r="B20" s="6" t="s">
        <v>0</v>
      </c>
      <c r="C20" s="15">
        <v>0</v>
      </c>
      <c r="D20" s="15">
        <v>0</v>
      </c>
      <c r="E20" s="15">
        <v>0</v>
      </c>
      <c r="F20" s="22"/>
      <c r="G20" s="25"/>
    </row>
    <row r="21" spans="1:7" s="5" customFormat="1">
      <c r="A21" s="44" t="s">
        <v>14</v>
      </c>
      <c r="B21" s="6" t="s">
        <v>1</v>
      </c>
      <c r="C21" s="15">
        <v>6000</v>
      </c>
      <c r="D21" s="15">
        <v>6000</v>
      </c>
      <c r="E21" s="15">
        <v>0</v>
      </c>
      <c r="F21" s="22">
        <v>12000</v>
      </c>
      <c r="G21" s="25">
        <f t="shared" si="0"/>
        <v>0</v>
      </c>
    </row>
    <row r="22" spans="1:7" s="5" customFormat="1">
      <c r="A22" s="44"/>
      <c r="B22" s="6" t="s">
        <v>0</v>
      </c>
      <c r="C22" s="15">
        <v>0</v>
      </c>
      <c r="D22" s="15">
        <v>0</v>
      </c>
      <c r="E22" s="15">
        <v>0</v>
      </c>
      <c r="F22" s="22"/>
      <c r="G22" s="25"/>
    </row>
    <row r="23" spans="1:7" s="5" customFormat="1">
      <c r="A23" s="44" t="s">
        <v>10</v>
      </c>
      <c r="B23" s="6" t="s">
        <v>1</v>
      </c>
      <c r="C23" s="15">
        <v>25000</v>
      </c>
      <c r="D23" s="15">
        <v>25500</v>
      </c>
      <c r="E23" s="15">
        <v>0</v>
      </c>
      <c r="F23" s="102">
        <f>SUM(C23:E23)</f>
        <v>50500</v>
      </c>
      <c r="G23" s="25">
        <f t="shared" si="0"/>
        <v>0</v>
      </c>
    </row>
    <row r="24" spans="1:7" s="5" customFormat="1">
      <c r="A24" s="44"/>
      <c r="B24" s="6" t="s">
        <v>0</v>
      </c>
      <c r="C24" s="15">
        <v>36180</v>
      </c>
      <c r="D24" s="15">
        <v>0</v>
      </c>
      <c r="E24" s="15">
        <v>0</v>
      </c>
      <c r="F24" s="102"/>
      <c r="G24" s="25"/>
    </row>
    <row r="25" spans="1:7" s="5" customFormat="1">
      <c r="A25" s="44" t="s">
        <v>9</v>
      </c>
      <c r="B25" s="6" t="s">
        <v>1</v>
      </c>
      <c r="C25" s="15">
        <v>15000</v>
      </c>
      <c r="D25" s="15">
        <v>15500</v>
      </c>
      <c r="E25" s="15">
        <v>0</v>
      </c>
      <c r="F25" s="22">
        <f>SUM(C25:E25)</f>
        <v>30500</v>
      </c>
      <c r="G25" s="25">
        <f t="shared" si="0"/>
        <v>0</v>
      </c>
    </row>
    <row r="26" spans="1:7" s="5" customFormat="1">
      <c r="A26" s="44"/>
      <c r="B26" s="6" t="s">
        <v>0</v>
      </c>
      <c r="C26" s="15">
        <v>3750</v>
      </c>
      <c r="D26" s="15">
        <v>0</v>
      </c>
      <c r="E26" s="15">
        <v>0</v>
      </c>
      <c r="F26" s="22"/>
      <c r="G26" s="25"/>
    </row>
    <row r="27" spans="1:7" s="5" customFormat="1">
      <c r="A27" s="44" t="s">
        <v>8</v>
      </c>
      <c r="B27" s="6" t="s">
        <v>1</v>
      </c>
      <c r="C27" s="15">
        <v>17000</v>
      </c>
      <c r="D27" s="15">
        <v>18400</v>
      </c>
      <c r="E27" s="15">
        <v>17000</v>
      </c>
      <c r="F27" s="22">
        <f>SUM(C27:E27)</f>
        <v>52400</v>
      </c>
      <c r="G27" s="25">
        <f t="shared" si="0"/>
        <v>0</v>
      </c>
    </row>
    <row r="28" spans="1:7" s="5" customFormat="1">
      <c r="A28" s="44"/>
      <c r="B28" s="6" t="s">
        <v>0</v>
      </c>
      <c r="C28" s="15">
        <v>11950</v>
      </c>
      <c r="D28" s="15">
        <v>0</v>
      </c>
      <c r="E28" s="15">
        <v>0</v>
      </c>
      <c r="F28" s="22"/>
      <c r="G28" s="25"/>
    </row>
    <row r="29" spans="1:7" s="4" customFormat="1">
      <c r="A29" s="156" t="s">
        <v>210</v>
      </c>
      <c r="B29" s="7" t="s">
        <v>1</v>
      </c>
      <c r="C29" s="17">
        <v>5200</v>
      </c>
      <c r="D29" s="17">
        <v>0</v>
      </c>
      <c r="E29" s="17">
        <v>0</v>
      </c>
      <c r="F29" s="155">
        <f>SUM(C29:E29)</f>
        <v>5200</v>
      </c>
      <c r="G29" s="24"/>
    </row>
    <row r="30" spans="1:7" s="4" customFormat="1">
      <c r="A30" s="156"/>
      <c r="B30" s="226" t="s">
        <v>0</v>
      </c>
      <c r="C30" s="17">
        <v>0</v>
      </c>
      <c r="D30" s="17">
        <v>0</v>
      </c>
      <c r="E30" s="17">
        <v>0</v>
      </c>
      <c r="F30" s="155"/>
      <c r="G30" s="24"/>
    </row>
    <row r="31" spans="1:7">
      <c r="A31" s="107" t="s">
        <v>140</v>
      </c>
      <c r="B31" s="141"/>
      <c r="C31" s="3"/>
      <c r="D31" s="3"/>
      <c r="E31" s="3"/>
      <c r="F31" s="26"/>
      <c r="G31" s="23"/>
    </row>
    <row r="32" spans="1:7">
      <c r="A32" s="40" t="s">
        <v>147</v>
      </c>
      <c r="B32" s="8" t="s">
        <v>1</v>
      </c>
      <c r="C32" s="57">
        <f t="shared" ref="C32:E33" si="1">SUM(C34+C41)</f>
        <v>216200</v>
      </c>
      <c r="D32" s="57">
        <f t="shared" si="1"/>
        <v>700</v>
      </c>
      <c r="E32" s="57">
        <f t="shared" si="1"/>
        <v>0</v>
      </c>
      <c r="F32" s="57">
        <f>SUM(C32:E32)</f>
        <v>216900</v>
      </c>
    </row>
    <row r="33" spans="1:7">
      <c r="A33" s="28"/>
      <c r="B33" s="8" t="s">
        <v>0</v>
      </c>
      <c r="C33" s="57">
        <f t="shared" si="1"/>
        <v>4830</v>
      </c>
      <c r="D33" s="57">
        <f t="shared" si="1"/>
        <v>0</v>
      </c>
      <c r="E33" s="57">
        <f t="shared" si="1"/>
        <v>0</v>
      </c>
    </row>
    <row r="34" spans="1:7" s="4" customFormat="1">
      <c r="A34" s="29" t="s">
        <v>129</v>
      </c>
      <c r="B34" s="7" t="s">
        <v>1</v>
      </c>
      <c r="C34" s="14">
        <f>SUM(C37:C39)</f>
        <v>32000</v>
      </c>
      <c r="D34" s="14">
        <v>0</v>
      </c>
      <c r="E34" s="14">
        <f>SUM(E39:E39)</f>
        <v>0</v>
      </c>
      <c r="F34" s="14">
        <f>SUM(C34:E34)</f>
        <v>32000</v>
      </c>
      <c r="G34" s="24">
        <f>F34-C34-D34-E34</f>
        <v>0</v>
      </c>
    </row>
    <row r="35" spans="1:7" s="4" customFormat="1">
      <c r="A35" s="30"/>
      <c r="B35" s="7" t="s">
        <v>0</v>
      </c>
      <c r="C35" s="14">
        <f>SUM(C38+C40)</f>
        <v>4830</v>
      </c>
      <c r="D35" s="14">
        <f>SUM(D38+D40)</f>
        <v>0</v>
      </c>
      <c r="E35" s="14">
        <f>SUM(E38+E40)</f>
        <v>0</v>
      </c>
      <c r="F35" s="21"/>
      <c r="G35" s="18"/>
    </row>
    <row r="36" spans="1:7" s="5" customFormat="1">
      <c r="A36" s="131" t="s">
        <v>130</v>
      </c>
      <c r="B36" s="132"/>
      <c r="C36" s="133"/>
      <c r="D36" s="133"/>
      <c r="E36" s="133"/>
      <c r="F36" s="22"/>
      <c r="G36" s="19"/>
    </row>
    <row r="37" spans="1:7" s="5" customFormat="1">
      <c r="A37" s="157" t="s">
        <v>259</v>
      </c>
      <c r="B37" s="6" t="s">
        <v>1</v>
      </c>
      <c r="C37" s="15">
        <v>24800</v>
      </c>
      <c r="D37" s="15">
        <v>0</v>
      </c>
      <c r="E37" s="15">
        <v>0</v>
      </c>
      <c r="F37" s="22">
        <f>SUM(C37:E37)</f>
        <v>24800</v>
      </c>
      <c r="G37" s="19"/>
    </row>
    <row r="38" spans="1:7" s="5" customFormat="1">
      <c r="A38" s="157"/>
      <c r="B38" s="6" t="s">
        <v>0</v>
      </c>
      <c r="C38" s="15"/>
      <c r="D38" s="15"/>
      <c r="E38" s="15"/>
      <c r="F38" s="22"/>
      <c r="G38" s="19"/>
    </row>
    <row r="39" spans="1:7" s="5" customFormat="1">
      <c r="A39" s="228" t="s">
        <v>209</v>
      </c>
      <c r="B39" s="6" t="s">
        <v>1</v>
      </c>
      <c r="C39" s="15">
        <v>7200</v>
      </c>
      <c r="D39" s="15">
        <v>0</v>
      </c>
      <c r="E39" s="15">
        <v>0</v>
      </c>
      <c r="F39" s="22">
        <f>SUM(C39:E39)</f>
        <v>7200</v>
      </c>
      <c r="G39" s="19"/>
    </row>
    <row r="40" spans="1:7" s="5" customFormat="1">
      <c r="A40" s="157"/>
      <c r="B40" s="6" t="s">
        <v>0</v>
      </c>
      <c r="C40" s="227">
        <v>4830</v>
      </c>
      <c r="D40" s="227"/>
      <c r="E40" s="227"/>
      <c r="F40" s="22"/>
      <c r="G40" s="19"/>
    </row>
    <row r="41" spans="1:7" s="4" customFormat="1">
      <c r="A41" s="29" t="s">
        <v>131</v>
      </c>
      <c r="B41" s="7" t="s">
        <v>1</v>
      </c>
      <c r="C41" s="193">
        <f>SUM(C45:C51)</f>
        <v>184200</v>
      </c>
      <c r="D41" s="193">
        <f>SUM(D45:D51)</f>
        <v>700</v>
      </c>
      <c r="E41" s="193">
        <f>SUM(E45:E51)</f>
        <v>0</v>
      </c>
      <c r="F41" s="14" t="e">
        <f>SUM(#REF!)</f>
        <v>#REF!</v>
      </c>
      <c r="G41" s="24" t="e">
        <f>F41-C41-D41-E41</f>
        <v>#REF!</v>
      </c>
    </row>
    <row r="42" spans="1:7" s="4" customFormat="1">
      <c r="A42" s="30" t="s">
        <v>58</v>
      </c>
      <c r="B42" s="7" t="s">
        <v>0</v>
      </c>
      <c r="C42" s="14">
        <f>SUM(C46+C49+D52)</f>
        <v>0</v>
      </c>
      <c r="D42" s="14"/>
      <c r="E42" s="14"/>
      <c r="F42" s="21"/>
      <c r="G42" s="18"/>
    </row>
    <row r="43" spans="1:7" s="4" customFormat="1">
      <c r="A43" s="48" t="s">
        <v>130</v>
      </c>
      <c r="B43" s="7"/>
      <c r="C43" s="14"/>
      <c r="D43" s="14"/>
      <c r="E43" s="14"/>
      <c r="F43" s="21"/>
      <c r="G43" s="18"/>
    </row>
    <row r="44" spans="1:7" s="5" customFormat="1">
      <c r="A44" s="143" t="s">
        <v>27</v>
      </c>
      <c r="B44" s="6"/>
      <c r="C44" s="15"/>
      <c r="D44" s="15"/>
      <c r="E44" s="15"/>
      <c r="F44" s="22"/>
      <c r="G44" s="19"/>
    </row>
    <row r="45" spans="1:7" s="5" customFormat="1">
      <c r="A45" s="44" t="s">
        <v>232</v>
      </c>
      <c r="B45" s="6" t="s">
        <v>1</v>
      </c>
      <c r="C45" s="15">
        <v>10000</v>
      </c>
      <c r="D45" s="15">
        <v>0</v>
      </c>
      <c r="E45" s="15">
        <v>0</v>
      </c>
      <c r="F45" s="22">
        <v>1514240</v>
      </c>
      <c r="G45" s="25">
        <f t="shared" ref="G45" si="2">F45-C45-D45-E45</f>
        <v>1504240</v>
      </c>
    </row>
    <row r="46" spans="1:7" s="5" customFormat="1">
      <c r="A46" s="44"/>
      <c r="B46" s="6" t="s">
        <v>0</v>
      </c>
      <c r="C46" s="15"/>
      <c r="D46" s="15"/>
      <c r="E46" s="15"/>
      <c r="F46" s="22"/>
      <c r="G46" s="25"/>
    </row>
    <row r="47" spans="1:7" s="5" customFormat="1">
      <c r="A47" s="43" t="s">
        <v>28</v>
      </c>
      <c r="B47" s="6"/>
      <c r="C47" s="15"/>
      <c r="D47" s="15"/>
      <c r="E47" s="15"/>
      <c r="F47" s="22"/>
      <c r="G47" s="25"/>
    </row>
    <row r="48" spans="1:7" s="5" customFormat="1">
      <c r="A48" s="44" t="s">
        <v>211</v>
      </c>
      <c r="B48" s="6" t="s">
        <v>1</v>
      </c>
      <c r="C48" s="15">
        <v>0</v>
      </c>
      <c r="D48" s="15">
        <v>700</v>
      </c>
      <c r="E48" s="15">
        <v>0</v>
      </c>
      <c r="F48" s="22">
        <v>12000</v>
      </c>
      <c r="G48" s="25">
        <f t="shared" ref="G48" si="3">F48-C48-D48-E48</f>
        <v>11300</v>
      </c>
    </row>
    <row r="49" spans="1:7" s="5" customFormat="1">
      <c r="A49" s="44"/>
      <c r="B49" s="6" t="s">
        <v>0</v>
      </c>
      <c r="C49" s="15"/>
      <c r="D49" s="15"/>
      <c r="E49" s="15"/>
      <c r="F49" s="22"/>
      <c r="G49" s="25"/>
    </row>
    <row r="50" spans="1:7" s="5" customFormat="1">
      <c r="A50" s="45" t="s">
        <v>132</v>
      </c>
      <c r="B50" s="6"/>
      <c r="C50" s="15"/>
      <c r="D50" s="15"/>
      <c r="E50" s="15"/>
      <c r="F50" s="22"/>
      <c r="G50" s="25"/>
    </row>
    <row r="51" spans="1:7" s="5" customFormat="1">
      <c r="A51" s="44" t="s">
        <v>36</v>
      </c>
      <c r="B51" s="6" t="s">
        <v>1</v>
      </c>
      <c r="C51" s="15">
        <v>174200</v>
      </c>
      <c r="D51" s="15">
        <v>0</v>
      </c>
      <c r="E51" s="15">
        <v>0</v>
      </c>
      <c r="F51" s="102">
        <f>39600-4600</f>
        <v>35000</v>
      </c>
      <c r="G51" s="25">
        <f t="shared" ref="G51" si="4">F51-C51-D51-E51</f>
        <v>-139200</v>
      </c>
    </row>
    <row r="52" spans="1:7" s="5" customFormat="1">
      <c r="A52" s="44"/>
      <c r="B52" s="6" t="s">
        <v>0</v>
      </c>
      <c r="C52" s="15"/>
      <c r="D52" s="15"/>
      <c r="E52" s="15"/>
      <c r="F52" s="102"/>
      <c r="G52" s="25"/>
    </row>
    <row r="53" spans="1:7">
      <c r="A53" s="245" t="s">
        <v>108</v>
      </c>
      <c r="B53" s="3" t="s">
        <v>1</v>
      </c>
      <c r="C53" s="58">
        <f t="shared" ref="C53:E54" si="5">SUM(C8+C32)</f>
        <v>2426880</v>
      </c>
      <c r="D53" s="58">
        <f t="shared" si="5"/>
        <v>1292700</v>
      </c>
      <c r="E53" s="58">
        <f t="shared" si="5"/>
        <v>1075300</v>
      </c>
      <c r="F53" s="20">
        <f>SUM(C53:E53)</f>
        <v>4794880</v>
      </c>
    </row>
    <row r="54" spans="1:7">
      <c r="A54" s="246"/>
      <c r="B54" s="3" t="s">
        <v>0</v>
      </c>
      <c r="C54" s="58">
        <f t="shared" si="5"/>
        <v>921310</v>
      </c>
      <c r="D54" s="58">
        <f t="shared" si="5"/>
        <v>0</v>
      </c>
      <c r="E54" s="58">
        <f t="shared" si="5"/>
        <v>0</v>
      </c>
    </row>
    <row r="55" spans="1:7" s="164" customFormat="1">
      <c r="A55" s="160"/>
      <c r="B55" s="160"/>
      <c r="C55" s="161"/>
      <c r="D55" s="161"/>
      <c r="E55" s="161"/>
      <c r="F55" s="162"/>
      <c r="G55" s="163"/>
    </row>
    <row r="56" spans="1:7" ht="28.5" customHeight="1">
      <c r="A56" s="2" t="s">
        <v>58</v>
      </c>
      <c r="B56" s="1"/>
    </row>
    <row r="58" spans="1:7">
      <c r="E58" s="135" t="s">
        <v>138</v>
      </c>
      <c r="F58" s="20">
        <f>F8+F32</f>
        <v>4794880</v>
      </c>
    </row>
  </sheetData>
  <mergeCells count="6">
    <mergeCell ref="A53:A54"/>
    <mergeCell ref="E5:E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81"/>
  <sheetViews>
    <sheetView view="pageBreakPreview" zoomScale="80" zoomScaleSheetLayoutView="80" workbookViewId="0">
      <pane xSplit="2" ySplit="7" topLeftCell="C56" activePane="bottomRight" state="frozen"/>
      <selection pane="topRight" activeCell="C1" sqref="C1"/>
      <selection pane="bottomLeft" activeCell="A7" sqref="A7"/>
      <selection pane="bottomRight" activeCell="C65" sqref="C65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169</v>
      </c>
      <c r="B3" s="12"/>
    </row>
    <row r="4" spans="1:7" ht="20.25" customHeight="1">
      <c r="A4" s="134"/>
      <c r="B4" s="12"/>
    </row>
    <row r="5" spans="1:7">
      <c r="A5" s="12"/>
      <c r="B5" s="12"/>
      <c r="C5" s="11" t="s">
        <v>24</v>
      </c>
      <c r="D5" s="11" t="s">
        <v>24</v>
      </c>
      <c r="E5" s="11" t="s">
        <v>24</v>
      </c>
    </row>
    <row r="6" spans="1:7">
      <c r="A6" s="250" t="s">
        <v>126</v>
      </c>
      <c r="B6" s="10" t="s">
        <v>22</v>
      </c>
      <c r="C6" s="248" t="s">
        <v>255</v>
      </c>
      <c r="D6" s="248" t="s">
        <v>256</v>
      </c>
      <c r="E6" s="248" t="s">
        <v>257</v>
      </c>
    </row>
    <row r="7" spans="1:7">
      <c r="A7" s="251"/>
      <c r="B7" s="9" t="s">
        <v>0</v>
      </c>
      <c r="C7" s="249"/>
      <c r="D7" s="249"/>
      <c r="E7" s="249"/>
      <c r="F7" s="26" t="s">
        <v>25</v>
      </c>
      <c r="G7" s="23" t="s">
        <v>26</v>
      </c>
    </row>
    <row r="8" spans="1:7">
      <c r="A8" s="107" t="s">
        <v>140</v>
      </c>
      <c r="B8" s="141"/>
      <c r="C8" s="3"/>
      <c r="D8" s="3"/>
      <c r="E8" s="3"/>
      <c r="F8" s="26"/>
      <c r="G8" s="23"/>
    </row>
    <row r="9" spans="1:7">
      <c r="A9" s="27" t="s">
        <v>170</v>
      </c>
      <c r="B9" s="8" t="s">
        <v>1</v>
      </c>
      <c r="C9" s="57">
        <f>SUM(C11+C13)</f>
        <v>849740</v>
      </c>
      <c r="D9" s="57">
        <f>SUM(D11+D13)</f>
        <v>458000</v>
      </c>
      <c r="E9" s="57">
        <f>SUM(E11+E13)</f>
        <v>237100</v>
      </c>
      <c r="F9" s="57">
        <f>F11+F13</f>
        <v>1544840</v>
      </c>
    </row>
    <row r="10" spans="1:7">
      <c r="A10" s="28"/>
      <c r="B10" s="8" t="s">
        <v>0</v>
      </c>
      <c r="C10" s="57">
        <f>SUM(C14)</f>
        <v>318940</v>
      </c>
      <c r="D10" s="57">
        <f>SUM(D14)</f>
        <v>0</v>
      </c>
      <c r="E10" s="57">
        <f>SUM(E14)</f>
        <v>0</v>
      </c>
    </row>
    <row r="11" spans="1:7" s="4" customFormat="1">
      <c r="A11" s="29" t="s">
        <v>129</v>
      </c>
      <c r="B11" s="7" t="s">
        <v>1</v>
      </c>
      <c r="C11" s="14">
        <v>0</v>
      </c>
      <c r="D11" s="14">
        <v>0</v>
      </c>
      <c r="E11" s="14">
        <v>0</v>
      </c>
      <c r="F11" s="14">
        <f>SUM(C11:E11)</f>
        <v>0</v>
      </c>
      <c r="G11" s="24">
        <f>F11-C11-D11-E11</f>
        <v>0</v>
      </c>
    </row>
    <row r="12" spans="1:7" s="4" customFormat="1">
      <c r="A12" s="30"/>
      <c r="B12" s="7" t="s">
        <v>0</v>
      </c>
      <c r="C12" s="14"/>
      <c r="D12" s="14"/>
      <c r="E12" s="14"/>
      <c r="F12" s="21"/>
      <c r="G12" s="18"/>
    </row>
    <row r="13" spans="1:7" s="4" customFormat="1">
      <c r="A13" s="29" t="s">
        <v>131</v>
      </c>
      <c r="B13" s="7" t="s">
        <v>1</v>
      </c>
      <c r="C13" s="14">
        <f>SUM(C17:C29)</f>
        <v>849740</v>
      </c>
      <c r="D13" s="14">
        <f>SUM(D17:D29)</f>
        <v>458000</v>
      </c>
      <c r="E13" s="14">
        <f>SUM(E16:E29)</f>
        <v>237100</v>
      </c>
      <c r="F13" s="14">
        <f>SUM(C13:E13)</f>
        <v>1544840</v>
      </c>
      <c r="G13" s="24">
        <f>F13-C13-D13-E13</f>
        <v>0</v>
      </c>
    </row>
    <row r="14" spans="1:7" s="4" customFormat="1">
      <c r="A14" s="30"/>
      <c r="B14" s="7" t="s">
        <v>0</v>
      </c>
      <c r="C14" s="14">
        <f>SUM(C18+C21+C23+C26+C28+C30)</f>
        <v>318940</v>
      </c>
      <c r="D14" s="14"/>
      <c r="E14" s="14"/>
      <c r="F14" s="21"/>
      <c r="G14" s="18"/>
    </row>
    <row r="15" spans="1:7" s="4" customFormat="1">
      <c r="A15" s="48" t="s">
        <v>130</v>
      </c>
      <c r="B15" s="128"/>
      <c r="C15" s="139"/>
      <c r="D15" s="139"/>
      <c r="E15" s="139"/>
      <c r="F15" s="21"/>
      <c r="G15" s="18"/>
    </row>
    <row r="16" spans="1:7" s="5" customFormat="1">
      <c r="A16" s="143" t="s">
        <v>27</v>
      </c>
      <c r="B16" s="6"/>
      <c r="C16" s="15"/>
      <c r="D16" s="15"/>
      <c r="E16" s="15"/>
      <c r="F16" s="22"/>
      <c r="G16" s="19"/>
    </row>
    <row r="17" spans="1:7" s="5" customFormat="1">
      <c r="A17" s="60" t="s">
        <v>21</v>
      </c>
      <c r="B17" s="6" t="s">
        <v>1</v>
      </c>
      <c r="C17" s="15">
        <v>400000</v>
      </c>
      <c r="D17" s="15">
        <v>393000</v>
      </c>
      <c r="E17" s="15">
        <v>200000</v>
      </c>
      <c r="F17" s="22">
        <f>SUM(C17:E17)</f>
        <v>993000</v>
      </c>
      <c r="G17" s="25">
        <f t="shared" ref="G17:G29" si="0">F17-C17-D17-E17</f>
        <v>0</v>
      </c>
    </row>
    <row r="18" spans="1:7" s="5" customFormat="1">
      <c r="A18" s="60"/>
      <c r="B18" s="6" t="s">
        <v>0</v>
      </c>
      <c r="C18" s="15">
        <v>267000</v>
      </c>
      <c r="D18" s="15">
        <v>0</v>
      </c>
      <c r="E18" s="15">
        <v>0</v>
      </c>
      <c r="F18" s="22"/>
      <c r="G18" s="25"/>
    </row>
    <row r="19" spans="1:7" s="5" customFormat="1">
      <c r="A19" s="43" t="s">
        <v>28</v>
      </c>
      <c r="B19" s="6"/>
      <c r="C19" s="15"/>
      <c r="D19" s="15"/>
      <c r="E19" s="15"/>
      <c r="F19" s="22"/>
      <c r="G19" s="25"/>
    </row>
    <row r="20" spans="1:7" s="5" customFormat="1">
      <c r="A20" s="38" t="s">
        <v>17</v>
      </c>
      <c r="B20" s="6" t="s">
        <v>1</v>
      </c>
      <c r="C20" s="15">
        <v>10000</v>
      </c>
      <c r="D20" s="15">
        <v>20000</v>
      </c>
      <c r="E20" s="15">
        <v>24900</v>
      </c>
      <c r="F20" s="22">
        <f>SUM(C20:E20)</f>
        <v>54900</v>
      </c>
      <c r="G20" s="25">
        <f t="shared" si="0"/>
        <v>0</v>
      </c>
    </row>
    <row r="21" spans="1:7" s="5" customFormat="1">
      <c r="A21" s="38"/>
      <c r="B21" s="6" t="s">
        <v>0</v>
      </c>
      <c r="C21" s="15"/>
      <c r="D21" s="15"/>
      <c r="E21" s="15"/>
      <c r="F21" s="22"/>
      <c r="G21" s="25"/>
    </row>
    <row r="22" spans="1:7" s="5" customFormat="1">
      <c r="A22" s="38" t="s">
        <v>14</v>
      </c>
      <c r="B22" s="6" t="s">
        <v>1</v>
      </c>
      <c r="C22" s="15">
        <v>10000</v>
      </c>
      <c r="D22" s="15">
        <v>12800</v>
      </c>
      <c r="E22" s="15">
        <v>0</v>
      </c>
      <c r="F22" s="22">
        <f>SUM(C22:E22)</f>
        <v>22800</v>
      </c>
      <c r="G22" s="25">
        <f t="shared" si="0"/>
        <v>0</v>
      </c>
    </row>
    <row r="23" spans="1:7" s="5" customFormat="1">
      <c r="A23" s="38"/>
      <c r="B23" s="6" t="s">
        <v>0</v>
      </c>
      <c r="C23" s="15">
        <v>18100</v>
      </c>
      <c r="D23" s="15"/>
      <c r="E23" s="15"/>
      <c r="F23" s="22"/>
      <c r="G23" s="25"/>
    </row>
    <row r="24" spans="1:7" s="5" customFormat="1">
      <c r="A24" s="45" t="s">
        <v>132</v>
      </c>
      <c r="B24" s="6"/>
      <c r="C24" s="15"/>
      <c r="D24" s="15"/>
      <c r="E24" s="15"/>
      <c r="F24" s="22"/>
      <c r="G24" s="25"/>
    </row>
    <row r="25" spans="1:7" s="5" customFormat="1">
      <c r="A25" s="61" t="s">
        <v>199</v>
      </c>
      <c r="B25" s="6" t="s">
        <v>1</v>
      </c>
      <c r="C25" s="15">
        <v>50000</v>
      </c>
      <c r="D25" s="15">
        <v>20000</v>
      </c>
      <c r="E25" s="15">
        <v>0</v>
      </c>
      <c r="F25" s="102">
        <f t="shared" ref="F25:F29" si="1">SUM(C25:E25)</f>
        <v>70000</v>
      </c>
      <c r="G25" s="25">
        <f t="shared" si="0"/>
        <v>0</v>
      </c>
    </row>
    <row r="26" spans="1:7" s="5" customFormat="1">
      <c r="A26" s="61"/>
      <c r="B26" s="6" t="s">
        <v>0</v>
      </c>
      <c r="C26" s="15"/>
      <c r="D26" s="15"/>
      <c r="E26" s="15"/>
      <c r="F26" s="102"/>
      <c r="G26" s="25"/>
    </row>
    <row r="27" spans="1:7" s="5" customFormat="1">
      <c r="A27" s="38" t="s">
        <v>9</v>
      </c>
      <c r="B27" s="6" t="s">
        <v>1</v>
      </c>
      <c r="C27" s="15">
        <v>48600</v>
      </c>
      <c r="D27" s="15">
        <v>0</v>
      </c>
      <c r="E27" s="15">
        <v>0</v>
      </c>
      <c r="F27" s="22">
        <f t="shared" si="1"/>
        <v>48600</v>
      </c>
      <c r="G27" s="25">
        <f t="shared" si="0"/>
        <v>0</v>
      </c>
    </row>
    <row r="28" spans="1:7" s="5" customFormat="1">
      <c r="A28" s="38"/>
      <c r="B28" s="6" t="s">
        <v>0</v>
      </c>
      <c r="C28" s="15">
        <v>33840</v>
      </c>
      <c r="D28" s="15"/>
      <c r="E28" s="15"/>
      <c r="F28" s="22"/>
      <c r="G28" s="25"/>
    </row>
    <row r="29" spans="1:7" s="5" customFormat="1">
      <c r="A29" s="38" t="s">
        <v>8</v>
      </c>
      <c r="B29" s="6" t="s">
        <v>1</v>
      </c>
      <c r="C29" s="15">
        <v>12200</v>
      </c>
      <c r="D29" s="15">
        <v>12200</v>
      </c>
      <c r="E29" s="15">
        <v>12200</v>
      </c>
      <c r="F29" s="22">
        <f t="shared" si="1"/>
        <v>36600</v>
      </c>
      <c r="G29" s="25">
        <f t="shared" si="0"/>
        <v>0</v>
      </c>
    </row>
    <row r="30" spans="1:7" s="5" customFormat="1">
      <c r="A30" s="38"/>
      <c r="B30" s="206" t="s">
        <v>0</v>
      </c>
      <c r="C30" s="15"/>
      <c r="D30" s="15"/>
      <c r="E30" s="15"/>
      <c r="F30" s="22"/>
      <c r="G30" s="25"/>
    </row>
    <row r="31" spans="1:7">
      <c r="A31" s="107" t="s">
        <v>140</v>
      </c>
      <c r="B31" s="141"/>
      <c r="C31" s="3"/>
      <c r="D31" s="3"/>
      <c r="E31" s="3"/>
      <c r="F31" s="26"/>
      <c r="G31" s="23"/>
    </row>
    <row r="32" spans="1:7">
      <c r="A32" s="27" t="s">
        <v>171</v>
      </c>
      <c r="B32" s="8" t="s">
        <v>1</v>
      </c>
      <c r="C32" s="57">
        <f t="shared" ref="C32:E33" si="2">SUM(C34)</f>
        <v>0</v>
      </c>
      <c r="D32" s="57">
        <f t="shared" si="2"/>
        <v>0</v>
      </c>
      <c r="E32" s="57">
        <f t="shared" si="2"/>
        <v>0</v>
      </c>
      <c r="F32" s="57">
        <f>SUM(C32:E32)</f>
        <v>0</v>
      </c>
    </row>
    <row r="33" spans="1:7">
      <c r="A33" s="28"/>
      <c r="B33" s="8" t="s">
        <v>0</v>
      </c>
      <c r="C33" s="57">
        <f t="shared" si="2"/>
        <v>0</v>
      </c>
      <c r="D33" s="57">
        <f t="shared" si="2"/>
        <v>0</v>
      </c>
      <c r="E33" s="57">
        <f t="shared" si="2"/>
        <v>0</v>
      </c>
    </row>
    <row r="34" spans="1:7" s="4" customFormat="1">
      <c r="A34" s="29" t="s">
        <v>129</v>
      </c>
      <c r="B34" s="7" t="s">
        <v>1</v>
      </c>
      <c r="C34" s="14">
        <v>0</v>
      </c>
      <c r="D34" s="14">
        <v>0</v>
      </c>
      <c r="E34" s="14">
        <v>0</v>
      </c>
      <c r="F34" s="14" t="e">
        <f>SUM(#REF!)</f>
        <v>#REF!</v>
      </c>
      <c r="G34" s="24" t="e">
        <f>F34-C34-D34-E34</f>
        <v>#REF!</v>
      </c>
    </row>
    <row r="35" spans="1:7" s="4" customFormat="1">
      <c r="A35" s="29" t="s">
        <v>131</v>
      </c>
      <c r="B35" s="7" t="s">
        <v>1</v>
      </c>
      <c r="C35" s="14">
        <v>0</v>
      </c>
      <c r="D35" s="14">
        <v>0</v>
      </c>
      <c r="E35" s="14">
        <v>0</v>
      </c>
      <c r="F35" s="21"/>
      <c r="G35" s="18"/>
    </row>
    <row r="36" spans="1:7">
      <c r="A36" s="107" t="s">
        <v>140</v>
      </c>
      <c r="B36" s="141"/>
      <c r="C36" s="3"/>
      <c r="D36" s="3"/>
      <c r="E36" s="3"/>
      <c r="F36" s="26"/>
      <c r="G36" s="23"/>
    </row>
    <row r="37" spans="1:7">
      <c r="A37" s="27" t="s">
        <v>172</v>
      </c>
      <c r="B37" s="8" t="s">
        <v>1</v>
      </c>
      <c r="C37" s="57">
        <f>SUM(C39+C46+C67)</f>
        <v>2219580</v>
      </c>
      <c r="D37" s="57">
        <f>SUM(D39+D46+D67)</f>
        <v>3189800</v>
      </c>
      <c r="E37" s="57">
        <f>SUM(E39+E46+E67)</f>
        <v>1010000</v>
      </c>
      <c r="F37" s="57">
        <f>SUM(C37:E37)</f>
        <v>6419380</v>
      </c>
    </row>
    <row r="38" spans="1:7">
      <c r="A38" s="28"/>
      <c r="B38" s="8" t="s">
        <v>0</v>
      </c>
      <c r="C38" s="57">
        <f>SUM(C47)</f>
        <v>18200</v>
      </c>
      <c r="D38" s="57">
        <f>SUM(D40+D68)</f>
        <v>0</v>
      </c>
      <c r="E38" s="57">
        <f>SUM(E40+E68)</f>
        <v>0</v>
      </c>
    </row>
    <row r="39" spans="1:7" s="4" customFormat="1">
      <c r="A39" s="29" t="s">
        <v>129</v>
      </c>
      <c r="B39" s="7" t="s">
        <v>1</v>
      </c>
      <c r="C39" s="14">
        <f>SUM(C42:C44)</f>
        <v>67880</v>
      </c>
      <c r="D39" s="14">
        <f>SUM(D42:D44)</f>
        <v>0</v>
      </c>
      <c r="E39" s="14">
        <f>SUM(E42:E44)</f>
        <v>0</v>
      </c>
      <c r="F39" s="14">
        <f>SUM(F42:F44)</f>
        <v>57800</v>
      </c>
      <c r="G39" s="24">
        <f>F39-C39-D39-E39</f>
        <v>-10080</v>
      </c>
    </row>
    <row r="40" spans="1:7" s="4" customFormat="1">
      <c r="A40" s="30"/>
      <c r="B40" s="7" t="s">
        <v>0</v>
      </c>
      <c r="C40" s="14">
        <f>SUM(C43+C45)</f>
        <v>15360</v>
      </c>
      <c r="D40" s="14"/>
      <c r="E40" s="14"/>
      <c r="F40" s="21"/>
      <c r="G40" s="18"/>
    </row>
    <row r="41" spans="1:7" s="5" customFormat="1">
      <c r="A41" s="48" t="s">
        <v>130</v>
      </c>
      <c r="B41" s="6"/>
      <c r="C41" s="15"/>
      <c r="D41" s="15"/>
      <c r="E41" s="15"/>
      <c r="F41" s="22"/>
      <c r="G41" s="19"/>
    </row>
    <row r="42" spans="1:7" s="5" customFormat="1">
      <c r="A42" s="49" t="s">
        <v>20</v>
      </c>
      <c r="B42" s="6" t="s">
        <v>1</v>
      </c>
      <c r="C42" s="15">
        <v>50600</v>
      </c>
      <c r="D42" s="15">
        <v>0</v>
      </c>
      <c r="E42" s="15">
        <v>0</v>
      </c>
      <c r="F42" s="22">
        <f>SUM(C42:E42)</f>
        <v>50600</v>
      </c>
      <c r="G42" s="25">
        <f>F42-C42-D42-E42</f>
        <v>0</v>
      </c>
    </row>
    <row r="43" spans="1:7" s="5" customFormat="1">
      <c r="A43" s="49"/>
      <c r="B43" s="6" t="s">
        <v>0</v>
      </c>
      <c r="C43" s="15">
        <v>10080</v>
      </c>
      <c r="D43" s="15"/>
      <c r="E43" s="15"/>
      <c r="F43" s="22"/>
      <c r="G43" s="25"/>
    </row>
    <row r="44" spans="1:7" s="5" customFormat="1">
      <c r="A44" s="49" t="s">
        <v>16</v>
      </c>
      <c r="B44" s="6" t="s">
        <v>1</v>
      </c>
      <c r="C44" s="15">
        <v>7200</v>
      </c>
      <c r="D44" s="15">
        <v>0</v>
      </c>
      <c r="E44" s="15">
        <v>0</v>
      </c>
      <c r="F44" s="22">
        <f>SUM(C44:E44)</f>
        <v>7200</v>
      </c>
      <c r="G44" s="25">
        <f>F44-C44-D44-E44</f>
        <v>0</v>
      </c>
    </row>
    <row r="45" spans="1:7" s="5" customFormat="1">
      <c r="A45" s="49"/>
      <c r="B45" s="6" t="s">
        <v>0</v>
      </c>
      <c r="C45" s="15">
        <v>5280</v>
      </c>
      <c r="D45" s="15">
        <v>0</v>
      </c>
      <c r="E45" s="15">
        <v>0</v>
      </c>
      <c r="F45" s="22"/>
      <c r="G45" s="25"/>
    </row>
    <row r="46" spans="1:7" s="4" customFormat="1">
      <c r="A46" s="29" t="s">
        <v>131</v>
      </c>
      <c r="B46" s="7" t="s">
        <v>1</v>
      </c>
      <c r="C46" s="14">
        <f>SUM(C50:C65)</f>
        <v>1151700</v>
      </c>
      <c r="D46" s="14">
        <f>SUM(D50:D65)</f>
        <v>1189800</v>
      </c>
      <c r="E46" s="14">
        <f>SUM(E50:E65)</f>
        <v>1010000</v>
      </c>
      <c r="F46" s="14">
        <f>SUM(C46:E46)</f>
        <v>3351500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SUM(C53+C55+C57+C60+C62+C64+C66)</f>
        <v>18200</v>
      </c>
      <c r="D47" s="14"/>
      <c r="E47" s="14"/>
      <c r="F47" s="21"/>
      <c r="G47" s="18"/>
    </row>
    <row r="48" spans="1:7" s="4" customFormat="1">
      <c r="A48" s="48" t="s">
        <v>130</v>
      </c>
      <c r="B48" s="128"/>
      <c r="C48" s="139"/>
      <c r="D48" s="139"/>
      <c r="E48" s="139"/>
      <c r="F48" s="21"/>
      <c r="G48" s="18"/>
    </row>
    <row r="49" spans="1:7" s="5" customFormat="1">
      <c r="A49" s="143" t="s">
        <v>27</v>
      </c>
      <c r="B49" s="6"/>
      <c r="C49" s="15"/>
      <c r="D49" s="15"/>
      <c r="E49" s="15"/>
      <c r="F49" s="22"/>
      <c r="G49" s="19"/>
    </row>
    <row r="50" spans="1:7" s="5" customFormat="1">
      <c r="A50" s="36" t="s">
        <v>233</v>
      </c>
      <c r="B50" s="6" t="s">
        <v>1</v>
      </c>
      <c r="C50" s="15">
        <v>0</v>
      </c>
      <c r="D50" s="15">
        <v>0</v>
      </c>
      <c r="E50" s="15">
        <v>0</v>
      </c>
      <c r="F50" s="22">
        <f>SUM(C50:E50)</f>
        <v>0</v>
      </c>
      <c r="G50" s="25">
        <f t="shared" ref="G50" si="3">F50-C50-D50-E50</f>
        <v>0</v>
      </c>
    </row>
    <row r="51" spans="1:7" s="5" customFormat="1">
      <c r="A51" s="43" t="s">
        <v>28</v>
      </c>
      <c r="B51" s="6"/>
      <c r="C51" s="15"/>
      <c r="D51" s="15"/>
      <c r="E51" s="15"/>
      <c r="F51" s="22"/>
      <c r="G51" s="25"/>
    </row>
    <row r="52" spans="1:7" s="5" customFormat="1">
      <c r="A52" s="38" t="s">
        <v>45</v>
      </c>
      <c r="B52" s="6" t="s">
        <v>1</v>
      </c>
      <c r="C52" s="15">
        <v>9000</v>
      </c>
      <c r="D52" s="15">
        <v>0</v>
      </c>
      <c r="E52" s="15">
        <v>0</v>
      </c>
      <c r="F52" s="22">
        <f>SUM(C52:E52)</f>
        <v>9000</v>
      </c>
      <c r="G52" s="25">
        <f t="shared" ref="G52" si="4">F52-C52-D52-E52</f>
        <v>0</v>
      </c>
    </row>
    <row r="53" spans="1:7" s="5" customFormat="1">
      <c r="A53" s="38"/>
      <c r="B53" s="6" t="s">
        <v>0</v>
      </c>
      <c r="C53" s="15"/>
      <c r="D53" s="15"/>
      <c r="E53" s="15"/>
      <c r="F53" s="22"/>
      <c r="G53" s="25"/>
    </row>
    <row r="54" spans="1:7" s="5" customFormat="1">
      <c r="A54" s="38" t="s">
        <v>109</v>
      </c>
      <c r="B54" s="6" t="s">
        <v>1</v>
      </c>
      <c r="C54" s="15">
        <v>250000</v>
      </c>
      <c r="D54" s="15">
        <v>0</v>
      </c>
      <c r="E54" s="15">
        <v>0</v>
      </c>
      <c r="F54" s="22">
        <v>250000</v>
      </c>
      <c r="G54" s="25">
        <f t="shared" ref="G54" si="5">F54-C54-D54-E54</f>
        <v>0</v>
      </c>
    </row>
    <row r="55" spans="1:7" s="5" customFormat="1">
      <c r="A55" s="38"/>
      <c r="B55" s="6" t="s">
        <v>0</v>
      </c>
      <c r="C55" s="15"/>
      <c r="D55" s="15"/>
      <c r="E55" s="15"/>
      <c r="F55" s="22"/>
      <c r="G55" s="25"/>
    </row>
    <row r="56" spans="1:7" s="5" customFormat="1">
      <c r="A56" s="38" t="s">
        <v>43</v>
      </c>
      <c r="B56" s="6" t="s">
        <v>1</v>
      </c>
      <c r="C56" s="15">
        <v>180000</v>
      </c>
      <c r="D56" s="15">
        <v>810000</v>
      </c>
      <c r="E56" s="15">
        <v>810000</v>
      </c>
      <c r="F56" s="22">
        <f>SUM(C56:E56)</f>
        <v>1800000</v>
      </c>
      <c r="G56" s="25">
        <f t="shared" ref="G56" si="6">F56-C56-D56-E56</f>
        <v>0</v>
      </c>
    </row>
    <row r="57" spans="1:7" s="5" customFormat="1">
      <c r="A57" s="234"/>
      <c r="B57" s="6" t="s">
        <v>0</v>
      </c>
      <c r="C57" s="15"/>
      <c r="D57" s="15"/>
      <c r="E57" s="15"/>
      <c r="F57" s="22"/>
      <c r="G57" s="25"/>
    </row>
    <row r="58" spans="1:7" s="5" customFormat="1">
      <c r="A58" s="45" t="s">
        <v>132</v>
      </c>
      <c r="B58" s="6"/>
      <c r="C58" s="15"/>
      <c r="D58" s="15"/>
      <c r="E58" s="15"/>
      <c r="F58" s="22"/>
      <c r="G58" s="25"/>
    </row>
    <row r="59" spans="1:7" s="5" customFormat="1">
      <c r="A59" s="38" t="s">
        <v>215</v>
      </c>
      <c r="B59" s="6" t="s">
        <v>1</v>
      </c>
      <c r="C59" s="15">
        <v>0</v>
      </c>
      <c r="D59" s="15">
        <v>4800</v>
      </c>
      <c r="E59" s="15"/>
      <c r="F59" s="22"/>
      <c r="G59" s="25"/>
    </row>
    <row r="60" spans="1:7" s="5" customFormat="1">
      <c r="A60" s="38"/>
      <c r="B60" s="6" t="s">
        <v>0</v>
      </c>
      <c r="C60" s="15"/>
      <c r="D60" s="15"/>
      <c r="E60" s="15"/>
      <c r="F60" s="22"/>
      <c r="G60" s="25"/>
    </row>
    <row r="61" spans="1:7" s="5" customFormat="1">
      <c r="A61" s="38" t="s">
        <v>44</v>
      </c>
      <c r="B61" s="6" t="s">
        <v>1</v>
      </c>
      <c r="C61" s="15">
        <v>175000</v>
      </c>
      <c r="D61" s="15">
        <v>175000</v>
      </c>
      <c r="E61" s="15"/>
      <c r="F61" s="22"/>
      <c r="G61" s="25"/>
    </row>
    <row r="62" spans="1:7" s="5" customFormat="1">
      <c r="A62" s="38"/>
      <c r="B62" s="6" t="s">
        <v>0</v>
      </c>
      <c r="C62" s="15"/>
      <c r="D62" s="15"/>
      <c r="E62" s="15"/>
      <c r="F62" s="22"/>
      <c r="G62" s="25"/>
    </row>
    <row r="63" spans="1:7" s="5" customFormat="1">
      <c r="A63" s="38" t="s">
        <v>7</v>
      </c>
      <c r="B63" s="6" t="s">
        <v>1</v>
      </c>
      <c r="C63" s="15">
        <v>19500</v>
      </c>
      <c r="D63" s="15">
        <v>0</v>
      </c>
      <c r="E63" s="15"/>
      <c r="F63" s="22"/>
      <c r="G63" s="25"/>
    </row>
    <row r="64" spans="1:7" s="5" customFormat="1">
      <c r="A64" s="38"/>
      <c r="B64" s="6" t="s">
        <v>0</v>
      </c>
      <c r="C64" s="15">
        <v>18200</v>
      </c>
      <c r="D64" s="15"/>
      <c r="E64" s="15"/>
      <c r="F64" s="22"/>
      <c r="G64" s="25"/>
    </row>
    <row r="65" spans="1:7" s="5" customFormat="1">
      <c r="A65" s="61" t="s">
        <v>46</v>
      </c>
      <c r="B65" s="6" t="s">
        <v>1</v>
      </c>
      <c r="C65" s="15">
        <v>500000</v>
      </c>
      <c r="D65" s="15">
        <v>200000</v>
      </c>
      <c r="E65" s="15">
        <v>200000</v>
      </c>
      <c r="F65" s="22">
        <f>SUM(C65:E65)</f>
        <v>900000</v>
      </c>
      <c r="G65" s="25">
        <f t="shared" ref="G65:G67" si="7">F65-C65-D65-E65</f>
        <v>0</v>
      </c>
    </row>
    <row r="66" spans="1:7" s="5" customFormat="1">
      <c r="A66" s="61"/>
      <c r="B66" s="6" t="s">
        <v>0</v>
      </c>
      <c r="C66" s="15"/>
      <c r="D66" s="15"/>
      <c r="E66" s="15"/>
      <c r="F66" s="22"/>
      <c r="G66" s="25"/>
    </row>
    <row r="67" spans="1:7" s="4" customFormat="1">
      <c r="A67" s="31" t="s">
        <v>133</v>
      </c>
      <c r="B67" s="32" t="s">
        <v>1</v>
      </c>
      <c r="C67" s="16">
        <f>C69</f>
        <v>1000000</v>
      </c>
      <c r="D67" s="16">
        <f t="shared" ref="D67:E67" si="8">D69</f>
        <v>2000000</v>
      </c>
      <c r="E67" s="16">
        <f t="shared" si="8"/>
        <v>0</v>
      </c>
      <c r="F67" s="16">
        <f>F69</f>
        <v>3000000</v>
      </c>
      <c r="G67" s="24">
        <f t="shared" si="7"/>
        <v>0</v>
      </c>
    </row>
    <row r="68" spans="1:7" s="4" customFormat="1">
      <c r="A68" s="33"/>
      <c r="B68" s="7" t="s">
        <v>0</v>
      </c>
      <c r="C68" s="16">
        <f>SUM(C70)</f>
        <v>0</v>
      </c>
      <c r="D68" s="16"/>
      <c r="E68" s="16"/>
      <c r="F68" s="21"/>
      <c r="G68" s="18"/>
    </row>
    <row r="69" spans="1:7" s="5" customFormat="1">
      <c r="A69" s="62" t="s">
        <v>48</v>
      </c>
      <c r="B69" s="63" t="s">
        <v>1</v>
      </c>
      <c r="C69" s="15">
        <v>1000000</v>
      </c>
      <c r="D69" s="15">
        <v>2000000</v>
      </c>
      <c r="E69" s="15">
        <v>0</v>
      </c>
      <c r="F69" s="22">
        <f>SUM(C69:E69)</f>
        <v>3000000</v>
      </c>
      <c r="G69" s="64">
        <f>F69-C69-D69-E69</f>
        <v>0</v>
      </c>
    </row>
    <row r="70" spans="1:7">
      <c r="A70" s="36" t="s">
        <v>47</v>
      </c>
      <c r="B70" s="35" t="s">
        <v>0</v>
      </c>
      <c r="C70" s="17"/>
      <c r="D70" s="17"/>
      <c r="E70" s="17"/>
    </row>
    <row r="71" spans="1:7">
      <c r="A71" s="245" t="s">
        <v>108</v>
      </c>
      <c r="B71" s="3" t="s">
        <v>1</v>
      </c>
      <c r="C71" s="58">
        <f>SUM(C9+C32+C37)</f>
        <v>3069320</v>
      </c>
      <c r="D71" s="58">
        <f>SUM(D9+D32+D37)</f>
        <v>3647800</v>
      </c>
      <c r="E71" s="58">
        <f>SUM(E9+E32+E37)</f>
        <v>1247100</v>
      </c>
      <c r="F71" s="20">
        <f>SUM(C71:E71)</f>
        <v>7964220</v>
      </c>
    </row>
    <row r="72" spans="1:7">
      <c r="A72" s="246"/>
      <c r="B72" s="3" t="s">
        <v>0</v>
      </c>
      <c r="C72" s="57">
        <f>SUM(C10+C32+C38)</f>
        <v>337140</v>
      </c>
      <c r="D72" s="57">
        <f>SUM(D74+D102)</f>
        <v>0</v>
      </c>
      <c r="E72" s="57">
        <f>SUM(E74+E102)</f>
        <v>0</v>
      </c>
    </row>
    <row r="73" spans="1:7" ht="13.5" customHeight="1">
      <c r="A73" s="1"/>
      <c r="B73" s="1"/>
    </row>
    <row r="74" spans="1:7" ht="60.75" customHeight="1">
      <c r="A74" s="2" t="s">
        <v>58</v>
      </c>
      <c r="B74" s="1"/>
    </row>
    <row r="76" spans="1:7">
      <c r="C76" s="165" t="s">
        <v>58</v>
      </c>
      <c r="E76" s="135" t="s">
        <v>173</v>
      </c>
      <c r="F76" s="20">
        <f>F9+F32+F37</f>
        <v>7964220</v>
      </c>
    </row>
    <row r="78" spans="1:7">
      <c r="C78" t="s">
        <v>58</v>
      </c>
    </row>
    <row r="81" spans="3:3">
      <c r="C81" t="s">
        <v>58</v>
      </c>
    </row>
  </sheetData>
  <mergeCells count="6">
    <mergeCell ref="A71:A72"/>
    <mergeCell ref="E6:E7"/>
    <mergeCell ref="A1:C1"/>
    <mergeCell ref="A6:A7"/>
    <mergeCell ref="C6:C7"/>
    <mergeCell ref="D6:D7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G44"/>
  <sheetViews>
    <sheetView view="pageBreakPreview" zoomScale="80" zoomScaleSheetLayoutView="80" workbookViewId="0">
      <pane xSplit="2" ySplit="9" topLeftCell="C13" activePane="bottomRight" state="frozen"/>
      <selection pane="topRight" activeCell="C1" sqref="C1"/>
      <selection pane="bottomLeft" activeCell="A9" sqref="A9"/>
      <selection pane="bottomRight" activeCell="C14" sqref="C14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169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174</v>
      </c>
      <c r="B8" s="8" t="s">
        <v>1</v>
      </c>
      <c r="C8" s="57">
        <f t="shared" ref="C8:E9" si="0">SUM(C10+C15)</f>
        <v>2811220</v>
      </c>
      <c r="D8" s="57">
        <f t="shared" si="0"/>
        <v>455700</v>
      </c>
      <c r="E8" s="57">
        <f t="shared" si="0"/>
        <v>563900</v>
      </c>
      <c r="F8" s="57">
        <f>SUM(C8:E8)</f>
        <v>3830820</v>
      </c>
    </row>
    <row r="9" spans="1:7">
      <c r="A9" s="28"/>
      <c r="B9" s="8" t="s">
        <v>0</v>
      </c>
      <c r="C9" s="57">
        <f>SUM(C16)</f>
        <v>433520</v>
      </c>
      <c r="D9" s="57">
        <f t="shared" si="0"/>
        <v>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158400</v>
      </c>
      <c r="D10" s="14">
        <f>SUM(D13:D13)</f>
        <v>0</v>
      </c>
      <c r="E10" s="14">
        <f>SUM(E13:E13)</f>
        <v>0</v>
      </c>
      <c r="F10" s="14">
        <f>SUM(C10:E10)</f>
        <v>158400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SUM(C14)</f>
        <v>40320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158400</v>
      </c>
      <c r="D13" s="15">
        <v>0</v>
      </c>
      <c r="E13" s="15">
        <v>0</v>
      </c>
      <c r="F13" s="22">
        <f>SUM(C13:E13)</f>
        <v>158400</v>
      </c>
      <c r="G13" s="25">
        <f>F13-C13-D13-E13</f>
        <v>0</v>
      </c>
    </row>
    <row r="14" spans="1:7" s="5" customFormat="1">
      <c r="A14" s="49"/>
      <c r="B14" s="6" t="s">
        <v>0</v>
      </c>
      <c r="C14" s="15">
        <v>40320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SUM(C19:C33)</f>
        <v>2652820</v>
      </c>
      <c r="D15" s="14">
        <f>SUM(D19:D33)</f>
        <v>455700</v>
      </c>
      <c r="E15" s="14">
        <f>SUM(E19:E33)</f>
        <v>563900</v>
      </c>
      <c r="F15" s="14">
        <f>SUM(C15:E15)</f>
        <v>3672420</v>
      </c>
      <c r="G15" s="24">
        <f>F15-C15-D15-E15</f>
        <v>0</v>
      </c>
    </row>
    <row r="16" spans="1:7" s="4" customFormat="1">
      <c r="A16" s="30" t="s">
        <v>58</v>
      </c>
      <c r="B16" s="7" t="s">
        <v>0</v>
      </c>
      <c r="C16" s="14">
        <f>SUM(C20+C23+C25+C28+C30+C30+C32+C34)</f>
        <v>433520</v>
      </c>
      <c r="D16" s="14"/>
      <c r="E16" s="14"/>
      <c r="F16" s="21"/>
      <c r="G16" s="18"/>
    </row>
    <row r="17" spans="1:7" s="4" customFormat="1">
      <c r="A17" s="48" t="s">
        <v>130</v>
      </c>
      <c r="B17" s="128"/>
      <c r="C17" s="139"/>
      <c r="D17" s="139"/>
      <c r="E17" s="139"/>
      <c r="F17" s="21"/>
      <c r="G17" s="18"/>
    </row>
    <row r="18" spans="1:7" s="5" customFormat="1">
      <c r="A18" s="131" t="s">
        <v>27</v>
      </c>
      <c r="B18" s="132"/>
      <c r="C18" s="133"/>
      <c r="D18" s="133"/>
      <c r="E18" s="133"/>
      <c r="F18" s="22"/>
      <c r="G18" s="19"/>
    </row>
    <row r="19" spans="1:7" s="5" customFormat="1">
      <c r="A19" s="60" t="s">
        <v>21</v>
      </c>
      <c r="B19" s="6" t="s">
        <v>1</v>
      </c>
      <c r="C19" s="15">
        <v>350000</v>
      </c>
      <c r="D19" s="15">
        <v>320000</v>
      </c>
      <c r="E19" s="15">
        <v>513900</v>
      </c>
      <c r="F19" s="22">
        <f>SUM(C19:E19)</f>
        <v>1183900</v>
      </c>
      <c r="G19" s="25">
        <f t="shared" ref="G19:G33" si="1">F19-C19-D19-E19</f>
        <v>0</v>
      </c>
    </row>
    <row r="20" spans="1:7" s="5" customFormat="1">
      <c r="A20" s="60"/>
      <c r="B20" s="6" t="s">
        <v>0</v>
      </c>
      <c r="C20" s="15">
        <v>371120</v>
      </c>
      <c r="D20" s="15"/>
      <c r="E20" s="15"/>
      <c r="F20" s="22"/>
      <c r="G20" s="25"/>
    </row>
    <row r="21" spans="1:7" s="5" customFormat="1">
      <c r="A21" s="43" t="s">
        <v>28</v>
      </c>
      <c r="B21" s="6"/>
      <c r="C21" s="15"/>
      <c r="D21" s="15"/>
      <c r="E21" s="15"/>
      <c r="F21" s="22"/>
      <c r="G21" s="25"/>
    </row>
    <row r="22" spans="1:7" s="5" customFormat="1">
      <c r="A22" s="38" t="s">
        <v>17</v>
      </c>
      <c r="B22" s="6" t="s">
        <v>1</v>
      </c>
      <c r="C22" s="15">
        <v>30000</v>
      </c>
      <c r="D22" s="15">
        <v>55700</v>
      </c>
      <c r="E22" s="15">
        <v>50000</v>
      </c>
      <c r="F22" s="22">
        <f>SUM(C22:E22)</f>
        <v>135700</v>
      </c>
      <c r="G22" s="25">
        <f t="shared" si="1"/>
        <v>0</v>
      </c>
    </row>
    <row r="23" spans="1:7" s="5" customFormat="1">
      <c r="A23" s="38"/>
      <c r="B23" s="6" t="s">
        <v>0</v>
      </c>
      <c r="C23" s="15"/>
      <c r="D23" s="15"/>
      <c r="E23" s="15"/>
      <c r="F23" s="22"/>
      <c r="G23" s="25"/>
    </row>
    <row r="24" spans="1:7" s="5" customFormat="1">
      <c r="A24" s="65" t="s">
        <v>49</v>
      </c>
      <c r="B24" s="6" t="s">
        <v>1</v>
      </c>
      <c r="C24" s="15">
        <v>1665000</v>
      </c>
      <c r="D24" s="15">
        <v>0</v>
      </c>
      <c r="E24" s="15">
        <v>0</v>
      </c>
      <c r="F24" s="22">
        <f>SUM(C24:E24)</f>
        <v>1665000</v>
      </c>
      <c r="G24" s="25">
        <f t="shared" ref="G24" si="2">F24-C24-D24-E24</f>
        <v>0</v>
      </c>
    </row>
    <row r="25" spans="1:7" s="5" customFormat="1">
      <c r="A25" s="65"/>
      <c r="B25" s="6" t="s">
        <v>0</v>
      </c>
      <c r="C25" s="15"/>
      <c r="D25" s="15"/>
      <c r="E25" s="15"/>
      <c r="F25" s="22"/>
      <c r="G25" s="25"/>
    </row>
    <row r="26" spans="1:7" s="5" customFormat="1">
      <c r="A26" s="43" t="s">
        <v>132</v>
      </c>
      <c r="B26" s="6"/>
      <c r="C26" s="15"/>
      <c r="D26" s="15"/>
      <c r="E26" s="15"/>
      <c r="F26" s="22"/>
      <c r="G26" s="25"/>
    </row>
    <row r="27" spans="1:7" s="5" customFormat="1">
      <c r="A27" s="61" t="s">
        <v>50</v>
      </c>
      <c r="B27" s="6" t="s">
        <v>1</v>
      </c>
      <c r="C27" s="15">
        <v>28000</v>
      </c>
      <c r="D27" s="15">
        <v>80000</v>
      </c>
      <c r="E27" s="15">
        <v>0</v>
      </c>
      <c r="F27" s="22">
        <f>SUM(C27:E27)</f>
        <v>108000</v>
      </c>
      <c r="G27" s="25">
        <f t="shared" si="1"/>
        <v>0</v>
      </c>
    </row>
    <row r="28" spans="1:7" s="5" customFormat="1">
      <c r="A28" s="61"/>
      <c r="B28" s="6" t="s">
        <v>0</v>
      </c>
      <c r="C28" s="15"/>
      <c r="D28" s="15"/>
      <c r="E28" s="15"/>
      <c r="F28" s="22"/>
      <c r="G28" s="25"/>
    </row>
    <row r="29" spans="1:7" s="5" customFormat="1">
      <c r="A29" s="61" t="s">
        <v>51</v>
      </c>
      <c r="B29" s="6" t="s">
        <v>1</v>
      </c>
      <c r="C29" s="15">
        <v>50000</v>
      </c>
      <c r="D29" s="15">
        <v>0</v>
      </c>
      <c r="E29" s="15">
        <v>0</v>
      </c>
      <c r="F29" s="22">
        <v>50000</v>
      </c>
      <c r="G29" s="25">
        <f t="shared" si="1"/>
        <v>0</v>
      </c>
    </row>
    <row r="30" spans="1:7" s="5" customFormat="1">
      <c r="A30" s="61"/>
      <c r="B30" s="6" t="s">
        <v>0</v>
      </c>
      <c r="C30" s="15"/>
      <c r="D30" s="15"/>
      <c r="E30" s="15"/>
      <c r="F30" s="22"/>
      <c r="G30" s="25"/>
    </row>
    <row r="31" spans="1:7" s="5" customFormat="1">
      <c r="A31" s="61" t="s">
        <v>7</v>
      </c>
      <c r="B31" s="6" t="s">
        <v>1</v>
      </c>
      <c r="C31" s="15">
        <v>66300</v>
      </c>
      <c r="D31" s="15"/>
      <c r="E31" s="15"/>
      <c r="F31" s="22"/>
      <c r="G31" s="25"/>
    </row>
    <row r="32" spans="1:7" s="5" customFormat="1">
      <c r="A32" s="235"/>
      <c r="B32" s="6" t="s">
        <v>0</v>
      </c>
      <c r="C32" s="15">
        <v>62400</v>
      </c>
      <c r="D32" s="15"/>
      <c r="E32" s="15"/>
      <c r="F32" s="22"/>
      <c r="G32" s="25"/>
    </row>
    <row r="33" spans="1:7" s="5" customFormat="1">
      <c r="A33" s="38" t="s">
        <v>34</v>
      </c>
      <c r="B33" s="6" t="s">
        <v>1</v>
      </c>
      <c r="C33" s="15">
        <v>30000</v>
      </c>
      <c r="D33" s="15">
        <v>0</v>
      </c>
      <c r="E33" s="15">
        <v>0</v>
      </c>
      <c r="F33" s="22">
        <f>SUM(C33:E33)</f>
        <v>30000</v>
      </c>
      <c r="G33" s="25">
        <f t="shared" si="1"/>
        <v>0</v>
      </c>
    </row>
    <row r="34" spans="1:7" s="5" customFormat="1">
      <c r="A34" s="38"/>
      <c r="B34" s="6" t="s">
        <v>0</v>
      </c>
      <c r="C34" s="15"/>
      <c r="D34" s="15"/>
      <c r="E34" s="15"/>
      <c r="F34" s="22"/>
      <c r="G34" s="25"/>
    </row>
    <row r="35" spans="1:7">
      <c r="A35" s="245" t="s">
        <v>108</v>
      </c>
      <c r="B35" s="3" t="s">
        <v>1</v>
      </c>
      <c r="C35" s="58">
        <f>C8</f>
        <v>2811220</v>
      </c>
      <c r="D35" s="58">
        <f t="shared" ref="D35:E35" si="3">D8</f>
        <v>455700</v>
      </c>
      <c r="E35" s="58">
        <f t="shared" si="3"/>
        <v>563900</v>
      </c>
      <c r="F35" s="20">
        <f>SUM(C35:E35)</f>
        <v>3830820</v>
      </c>
    </row>
    <row r="36" spans="1:7">
      <c r="A36" s="246"/>
      <c r="B36" s="3" t="s">
        <v>0</v>
      </c>
      <c r="C36" s="58">
        <f>SUM(C9)</f>
        <v>433520</v>
      </c>
      <c r="D36" s="58"/>
      <c r="E36" s="58"/>
    </row>
    <row r="37" spans="1:7" ht="13.5" customHeight="1">
      <c r="A37" s="1"/>
      <c r="B37" s="1"/>
    </row>
    <row r="38" spans="1:7" ht="28.5" customHeight="1">
      <c r="A38" s="2" t="s">
        <v>58</v>
      </c>
      <c r="B38" s="1"/>
    </row>
    <row r="41" spans="1:7">
      <c r="C41" s="165" t="s">
        <v>58</v>
      </c>
    </row>
    <row r="44" spans="1:7">
      <c r="C44" t="s">
        <v>58</v>
      </c>
    </row>
  </sheetData>
  <mergeCells count="6">
    <mergeCell ref="E5:E6"/>
    <mergeCell ref="A35:A3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23</vt:i4>
      </vt:variant>
    </vt:vector>
  </HeadingPairs>
  <TitlesOfParts>
    <vt:vector size="37" baseType="lpstr">
      <vt:lpstr>ปกครอง</vt:lpstr>
      <vt:lpstr>ทะเบียน</vt:lpstr>
      <vt:lpstr>คลัง</vt:lpstr>
      <vt:lpstr>รายได้</vt:lpstr>
      <vt:lpstr>รักษา</vt:lpstr>
      <vt:lpstr>ปลูก</vt:lpstr>
      <vt:lpstr>เทศกิจ</vt:lpstr>
      <vt:lpstr>โยธา</vt:lpstr>
      <vt:lpstr>ระบายน้ำ</vt:lpstr>
      <vt:lpstr>พัฒนา</vt:lpstr>
      <vt:lpstr>อนามัย</vt:lpstr>
      <vt:lpstr>ศึกษา</vt:lpstr>
      <vt:lpstr>test</vt:lpstr>
      <vt:lpstr>สัญญา</vt:lpstr>
      <vt:lpstr>คลัง!Print_Area</vt:lpstr>
      <vt:lpstr>ทะเบียน!Print_Area</vt:lpstr>
      <vt:lpstr>เทศกิจ!Print_Area</vt:lpstr>
      <vt:lpstr>ปกครอง!Print_Area</vt:lpstr>
      <vt:lpstr>ปลูก!Print_Area</vt:lpstr>
      <vt:lpstr>พัฒนา!Print_Area</vt:lpstr>
      <vt:lpstr>โยธา!Print_Area</vt:lpstr>
      <vt:lpstr>ระบายน้ำ!Print_Area</vt:lpstr>
      <vt:lpstr>รายได้!Print_Area</vt:lpstr>
      <vt:lpstr>ศึกษา!Print_Area</vt:lpstr>
      <vt:lpstr>อนามัย!Print_Area</vt:lpstr>
      <vt:lpstr>คลัง!Print_Titles</vt:lpstr>
      <vt:lpstr>ทะเบียน!Print_Titles</vt:lpstr>
      <vt:lpstr>เทศกิจ!Print_Titles</vt:lpstr>
      <vt:lpstr>ปกครอง!Print_Titles</vt:lpstr>
      <vt:lpstr>ปลูก!Print_Titles</vt:lpstr>
      <vt:lpstr>พัฒนา!Print_Titles</vt:lpstr>
      <vt:lpstr>โยธา!Print_Titles</vt:lpstr>
      <vt:lpstr>ระบายน้ำ!Print_Titles</vt:lpstr>
      <vt:lpstr>รักษา!Print_Titles</vt:lpstr>
      <vt:lpstr>รายได้!Print_Titles</vt:lpstr>
      <vt:lpstr>ศึกษา!Print_Titles</vt:lpstr>
      <vt:lpstr>อนามัย!Print_Titles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finace</dc:creator>
  <cp:lastModifiedBy>1231</cp:lastModifiedBy>
  <cp:lastPrinted>2023-02-02T03:04:23Z</cp:lastPrinted>
  <dcterms:created xsi:type="dcterms:W3CDTF">2020-09-19T05:34:07Z</dcterms:created>
  <dcterms:modified xsi:type="dcterms:W3CDTF">2023-02-02T03:14:05Z</dcterms:modified>
</cp:coreProperties>
</file>