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55" tabRatio="803" activeTab="0"/>
  </bookViews>
  <sheets>
    <sheet name="รายงานรายได้(66)" sheetId="1" r:id="rId1"/>
    <sheet name="มี.ค.66" sheetId="2" state="hidden" r:id="rId2"/>
  </sheets>
  <definedNames>
    <definedName name="_xlnm.Print_Titles" localSheetId="0">'รายงานรายได้(66)'!$1:$6</definedName>
  </definedNames>
  <calcPr fullCalcOnLoad="1"/>
</workbook>
</file>

<file path=xl/sharedStrings.xml><?xml version="1.0" encoding="utf-8"?>
<sst xmlns="http://schemas.openxmlformats.org/spreadsheetml/2006/main" count="151" uniqueCount="69">
  <si>
    <t>หมายเหตุ</t>
  </si>
  <si>
    <t>หน่วย : บาท</t>
  </si>
  <si>
    <t>ประเภท</t>
  </si>
  <si>
    <t>สำนักงานเขตคลองสามวา</t>
  </si>
  <si>
    <t>2. ค่าธรรมเนียม ค่าใบอนุญาต ค่าปรับ และค่าบริการ</t>
  </si>
  <si>
    <t>1. ภาษีอากร</t>
  </si>
  <si>
    <t>3. รายได้จากทรัพย์สิน</t>
  </si>
  <si>
    <t>5. รายได้เบ็ดเตล็ด</t>
  </si>
  <si>
    <t xml:space="preserve"> รวมภาษีอากรที่ กทม.จัดเก็บเอง</t>
  </si>
  <si>
    <t>ค่าธรรมเนียม</t>
  </si>
  <si>
    <t>ค่าใบอนุญาต</t>
  </si>
  <si>
    <t xml:space="preserve">    กรุงเทพมหานครจัดเก็บเอง</t>
  </si>
  <si>
    <t xml:space="preserve">  - ภาษีบำรุงท้องที่</t>
  </si>
  <si>
    <t xml:space="preserve">  - ภาษีโรงเรือนและที่ดิน</t>
  </si>
  <si>
    <t xml:space="preserve">  - ภาษีป้าย</t>
  </si>
  <si>
    <t xml:space="preserve">   - ภาษีน้ำมัน</t>
  </si>
  <si>
    <t xml:space="preserve">   - ค่าธรรมเนียมขนถ่ายสิ่งปฏิกูล</t>
  </si>
  <si>
    <t xml:space="preserve">   - ค่าธรรมเนียมเก็บขนมูลฝอย</t>
  </si>
  <si>
    <t xml:space="preserve">   - ค่าธรรมเนียมตามกฎหมายควบคุมอาคาร</t>
  </si>
  <si>
    <t xml:space="preserve">     (ขอมีบัตรและเปลี่ยนบัตรใหม่)</t>
  </si>
  <si>
    <t xml:space="preserve">   - ค่าธรรมเนียมจดทะเบียนพาณิชย์</t>
  </si>
  <si>
    <t xml:space="preserve">   - ค่าธรรมเนียมขนถ่ายสิ่งปฎิกูลประเภทไขมัน </t>
  </si>
  <si>
    <t xml:space="preserve">   - ใบอนุญาตการประกอบกิจการที่เป็นอันตรายต่อสุขภาพ</t>
  </si>
  <si>
    <t xml:space="preserve">   - ใบอนุญาตการโฆษณา</t>
  </si>
  <si>
    <t xml:space="preserve">   - ใบอนุญาตตลาดเอกชน</t>
  </si>
  <si>
    <t xml:space="preserve">   - ใบอนุญาตสุสานและฌาปณสถาน</t>
  </si>
  <si>
    <t xml:space="preserve">   - ค่าปรับผู้ละเมิดกฎหมาย</t>
  </si>
  <si>
    <t xml:space="preserve">   - การคัดสำเนาหรือถ่ายเอกสาร</t>
  </si>
  <si>
    <t xml:space="preserve">   - การพ่นหมอกกำจัดยุง</t>
  </si>
  <si>
    <t xml:space="preserve">   - การทำการต่างๆ ในที่สาธารณะ</t>
  </si>
  <si>
    <t xml:space="preserve">   - การขอใช้สถานที่</t>
  </si>
  <si>
    <t xml:space="preserve">   - การบริการตัดและขุดต้นไม้</t>
  </si>
  <si>
    <t>ค่าปรับ</t>
  </si>
  <si>
    <t>ค่าบริการ</t>
  </si>
  <si>
    <t xml:space="preserve"> รวมภาษีอากร</t>
  </si>
  <si>
    <t xml:space="preserve"> รวมค่าธรรมเนียม ค่าใบอนุญาต ค่าปรับ และค่าบริการ</t>
  </si>
  <si>
    <t xml:space="preserve">   - ค่าเช่าอาคารสถานที่</t>
  </si>
  <si>
    <t xml:space="preserve">   - ค่าดอกเบี้ยเงินฝากธนาคารและพันธบัตรของรัฐบาล</t>
  </si>
  <si>
    <t>รวมรายได้จากทรัพย์สิน</t>
  </si>
  <si>
    <t xml:space="preserve">    - เงินเหลือจ่ายปีเก่าส่งคืน</t>
  </si>
  <si>
    <t xml:space="preserve">    - ค่าเบ็ดเตล็ดอื่นๆ  </t>
  </si>
  <si>
    <t>รวมรายได้เบ็ดเตล็ด</t>
  </si>
  <si>
    <t>รวมรายได้ประจำ</t>
  </si>
  <si>
    <t>รวมรายรับทั้งสิ้น</t>
  </si>
  <si>
    <r>
      <t xml:space="preserve">   - ค่าใบอนุญาต</t>
    </r>
    <r>
      <rPr>
        <sz val="14"/>
        <rFont val="TH SarabunPSK"/>
        <family val="2"/>
      </rPr>
      <t>รับรองการแจ้งการตั้งสถานที่จำหน่ายอาหาร</t>
    </r>
  </si>
  <si>
    <r>
      <t xml:space="preserve">   - ใบอนุญาตสถานที่</t>
    </r>
    <r>
      <rPr>
        <sz val="14"/>
        <rFont val="TH SarabunPSK"/>
        <family val="2"/>
      </rPr>
      <t>จำหน่ายอาหารและสถานที่สะสมอาหาร</t>
    </r>
  </si>
  <si>
    <t xml:space="preserve">  - ภาษีที่ดินและสิ่งปลูกสร้าง</t>
  </si>
  <si>
    <t xml:space="preserve">   - การทำความสะอาด</t>
  </si>
  <si>
    <t>รับจริง</t>
  </si>
  <si>
    <t xml:space="preserve">ปีงบประมาณ </t>
  </si>
  <si>
    <t xml:space="preserve">   - ชดใช้ค่าเสียหาย</t>
  </si>
  <si>
    <t>ต่างเขตรับแทน</t>
  </si>
  <si>
    <t xml:space="preserve">   - ค่าธรรมเนียมรายปีและเงินเพิ่มฯสำหรับโรงงานจำพวกที่ 2</t>
  </si>
  <si>
    <t xml:space="preserve">   - ค่าธรรมเนียมใบอนุญาตติดตั้งป้ายโฆษณา</t>
  </si>
  <si>
    <t xml:space="preserve">   - ค่าธรรมเนียมและค่าเปรียบเทียบปรับบัตรประจำตัวประชาชน</t>
  </si>
  <si>
    <t>รายได้ประจำ</t>
  </si>
  <si>
    <t>ปีงบประมาณ 2566</t>
  </si>
  <si>
    <t>ต.ค.65 - ก.พ.66</t>
  </si>
  <si>
    <t>ประมาณการรายรับ
ปีงบฯ 2566</t>
  </si>
  <si>
    <t>% ประมาณการรายรับเทียบกับรับจริง</t>
  </si>
  <si>
    <t>ข้อมูล ณ วันที่ 18 เมษายน 2566</t>
  </si>
  <si>
    <t xml:space="preserve">รวบรวมโดย ฝ่ายการคลัง </t>
  </si>
  <si>
    <t>ข้อมูลผลการจัดเก็บรายได้ ค่าธรรมเนียม ค่าใบอนุญาต ค่าปรับ และค่าบริการ ของสำนักงานเขต กรุงเทพมหานคร ปีงบประมาณ 2566</t>
  </si>
  <si>
    <t xml:space="preserve">   - ค่าใบอนุญาตจำหน่ายสินค้าในที่สาธารณะ</t>
  </si>
  <si>
    <t xml:space="preserve">    - ค่าจำหน่ายทรัพย์สิน/วัสดุชำรุด </t>
  </si>
  <si>
    <t>ต.ค.65 - มี.ค.66</t>
  </si>
  <si>
    <t xml:space="preserve">    - ค่าปรับเกินสัญญา </t>
  </si>
  <si>
    <t>*</t>
  </si>
  <si>
    <t>ข้อมูล ณ วันที่ 16 พฤษภาคม 2566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</si>
</sst>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(#,##0.00\)"/>
    <numFmt numFmtId="188" formatCode="#,##0.00;[Red]#,##0.00"/>
    <numFmt numFmtId="189" formatCode="#,##0.0;[Red]#,##0.0"/>
    <numFmt numFmtId="190" formatCode="#,##0.000000000;[Red]#,##0.000000000"/>
    <numFmt numFmtId="191" formatCode="#,##0.00000000;[Red]#,##0.00000000"/>
    <numFmt numFmtId="192" formatCode="#,##0.0000000;[Red]#,##0.0000000"/>
    <numFmt numFmtId="193" formatCode="#,##0.000000;[Red]#,##0.000000"/>
    <numFmt numFmtId="194" formatCode="#,##0.00000;[Red]#,##0.00000"/>
    <numFmt numFmtId="195" formatCode="#,##0.0000;[Red]#,##0.0000"/>
    <numFmt numFmtId="196" formatCode="#,##0.000;[Red]#,##0.000"/>
    <numFmt numFmtId="197" formatCode="t#,##0_);\(t&quot;฿&quot;#,##0\)"/>
    <numFmt numFmtId="198" formatCode="t&quot;฿&quot;#,##0.00_);\(t#,##0.00\)"/>
    <numFmt numFmtId="199" formatCode="&quot;฿&quot;#,##0.00"/>
    <numFmt numFmtId="200" formatCode="_-* #,##0.0_-;\-* #,##0.0_-;_-* &quot;-&quot;??_-;_-@_-"/>
    <numFmt numFmtId="201" formatCode="\(#,##0\)"/>
    <numFmt numFmtId="202" formatCode="\(#,##0.0\)"/>
    <numFmt numFmtId="203" formatCode="t#,##0.00_);[Red]\(t&quot;฿&quot;#,##0.00\)"/>
    <numFmt numFmtId="204" formatCode="\(t#,##0.00\)"/>
    <numFmt numFmtId="205" formatCode="#,##0.00_);\(&quot;฿&quot;#,##0.00\)"/>
    <numFmt numFmtId="206" formatCode="#,##0.00_);\(#,##0.00\)"/>
    <numFmt numFmtId="207" formatCode="\(#,##0.00\)"/>
    <numFmt numFmtId="208" formatCode="#,##0.000;[Red]\(#,##0.000\)"/>
    <numFmt numFmtId="209" formatCode="_-* #,##0.000_-;\-* #,##0.000_-;_-* &quot;-&quot;??_-;_-@_-"/>
    <numFmt numFmtId="210" formatCode="\(#,##0.00_)"/>
    <numFmt numFmtId="211" formatCode="\(#,##0.00\)\)"/>
    <numFmt numFmtId="212" formatCode="#,##0.0000000000;[Red]#,##0.0000000000"/>
    <numFmt numFmtId="213" formatCode="#,##0.0;[Red]\(#,##0.0\)"/>
    <numFmt numFmtId="214" formatCode="&quot;฿&quot;#,##0_);\(t&quot;฿&quot;#,##0\)"/>
    <numFmt numFmtId="215" formatCode="\(0.00\)"/>
    <numFmt numFmtId="216" formatCode="#,##0.00;\(#,##0.00\)"/>
    <numFmt numFmtId="217" formatCode="#,##0;[Red]#,##0"/>
    <numFmt numFmtId="218" formatCode="_-* #,##0.0000_-;\-* #,##0.0000_-;_-* &quot;-&quot;??_-;_-@_-"/>
    <numFmt numFmtId="219" formatCode="_-* #,##0_-;\-* #,##0_-;_-* &quot;-&quot;??_-;_-@_-"/>
  </numFmts>
  <fonts count="53">
    <font>
      <sz val="16"/>
      <name val="Angsana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44" applyFont="1" applyBorder="1" applyAlignment="1">
      <alignment horizontal="center" vertical="center"/>
      <protection/>
    </xf>
    <xf numFmtId="43" fontId="9" fillId="0" borderId="0" xfId="38" applyFont="1" applyAlignment="1">
      <alignment vertical="center"/>
    </xf>
    <xf numFmtId="0" fontId="6" fillId="0" borderId="0" xfId="44" applyFont="1" applyAlignment="1">
      <alignment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0" xfId="44" applyFont="1" applyAlignment="1">
      <alignment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187" fontId="9" fillId="0" borderId="12" xfId="44" applyNumberFormat="1" applyFont="1" applyBorder="1" applyAlignment="1">
      <alignment vertical="center"/>
      <protection/>
    </xf>
    <xf numFmtId="0" fontId="9" fillId="0" borderId="12" xfId="44" applyFont="1" applyBorder="1" applyAlignment="1">
      <alignment vertical="center"/>
      <protection/>
    </xf>
    <xf numFmtId="187" fontId="9" fillId="0" borderId="12" xfId="44" applyNumberFormat="1" applyFont="1" applyBorder="1" applyAlignment="1">
      <alignment horizontal="right" vertical="center"/>
      <protection/>
    </xf>
    <xf numFmtId="43" fontId="9" fillId="0" borderId="12" xfId="38" applyFont="1" applyBorder="1" applyAlignment="1">
      <alignment vertical="center"/>
    </xf>
    <xf numFmtId="0" fontId="5" fillId="0" borderId="15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187" fontId="9" fillId="0" borderId="17" xfId="44" applyNumberFormat="1" applyFont="1" applyBorder="1" applyAlignment="1">
      <alignment vertical="center"/>
      <protection/>
    </xf>
    <xf numFmtId="187" fontId="9" fillId="0" borderId="17" xfId="44" applyNumberFormat="1" applyFont="1" applyBorder="1" applyAlignment="1">
      <alignment horizontal="right" vertical="center"/>
      <protection/>
    </xf>
    <xf numFmtId="0" fontId="5" fillId="0" borderId="18" xfId="44" applyFont="1" applyBorder="1" applyAlignment="1">
      <alignment vertical="center"/>
      <protection/>
    </xf>
    <xf numFmtId="187" fontId="7" fillId="0" borderId="19" xfId="44" applyNumberFormat="1" applyFont="1" applyBorder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5" fillId="0" borderId="2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187" fontId="9" fillId="0" borderId="11" xfId="44" applyNumberFormat="1" applyFont="1" applyBorder="1" applyAlignment="1">
      <alignment vertical="center"/>
      <protection/>
    </xf>
    <xf numFmtId="187" fontId="9" fillId="0" borderId="11" xfId="44" applyNumberFormat="1" applyFont="1" applyBorder="1" applyAlignment="1">
      <alignment horizontal="right" vertical="center"/>
      <protection/>
    </xf>
    <xf numFmtId="43" fontId="7" fillId="0" borderId="19" xfId="38" applyNumberFormat="1" applyFont="1" applyBorder="1" applyAlignment="1">
      <alignment vertical="center"/>
    </xf>
    <xf numFmtId="43" fontId="5" fillId="0" borderId="12" xfId="38" applyFont="1" applyBorder="1" applyAlignment="1">
      <alignment vertical="center"/>
    </xf>
    <xf numFmtId="187" fontId="5" fillId="0" borderId="12" xfId="44" applyNumberFormat="1" applyFont="1" applyBorder="1" applyAlignment="1">
      <alignment vertical="center"/>
      <protection/>
    </xf>
    <xf numFmtId="0" fontId="5" fillId="0" borderId="12" xfId="44" applyFont="1" applyBorder="1" applyAlignment="1">
      <alignment horizontal="center" vertical="center"/>
      <protection/>
    </xf>
    <xf numFmtId="208" fontId="9" fillId="0" borderId="12" xfId="44" applyNumberFormat="1" applyFont="1" applyBorder="1" applyAlignment="1">
      <alignment vertical="center"/>
      <protection/>
    </xf>
    <xf numFmtId="0" fontId="5" fillId="0" borderId="21" xfId="44" applyFont="1" applyBorder="1" applyAlignment="1">
      <alignment vertical="center"/>
      <protection/>
    </xf>
    <xf numFmtId="0" fontId="5" fillId="0" borderId="22" xfId="44" applyFont="1" applyBorder="1" applyAlignment="1">
      <alignment vertical="center"/>
      <protection/>
    </xf>
    <xf numFmtId="187" fontId="7" fillId="0" borderId="22" xfId="44" applyNumberFormat="1" applyFont="1" applyBorder="1" applyAlignment="1">
      <alignment vertical="center"/>
      <protection/>
    </xf>
    <xf numFmtId="0" fontId="5" fillId="12" borderId="21" xfId="44" applyFont="1" applyFill="1" applyBorder="1" applyAlignment="1">
      <alignment vertical="center"/>
      <protection/>
    </xf>
    <xf numFmtId="0" fontId="5" fillId="12" borderId="23" xfId="44" applyFont="1" applyFill="1" applyBorder="1" applyAlignment="1">
      <alignment vertical="center"/>
      <protection/>
    </xf>
    <xf numFmtId="187" fontId="7" fillId="12" borderId="24" xfId="44" applyNumberFormat="1" applyFont="1" applyFill="1" applyBorder="1" applyAlignment="1">
      <alignment vertical="center"/>
      <protection/>
    </xf>
    <xf numFmtId="0" fontId="5" fillId="13" borderId="21" xfId="44" applyFont="1" applyFill="1" applyBorder="1" applyAlignment="1">
      <alignment vertical="center"/>
      <protection/>
    </xf>
    <xf numFmtId="0" fontId="9" fillId="13" borderId="25" xfId="44" applyFont="1" applyFill="1" applyBorder="1" applyAlignment="1">
      <alignment vertical="center"/>
      <protection/>
    </xf>
    <xf numFmtId="187" fontId="7" fillId="13" borderId="24" xfId="44" applyNumberFormat="1" applyFont="1" applyFill="1" applyBorder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11" fillId="0" borderId="0" xfId="44" applyFont="1" applyFill="1" applyBorder="1" applyAlignment="1">
      <alignment vertical="center"/>
      <protection/>
    </xf>
    <xf numFmtId="0" fontId="9" fillId="0" borderId="0" xfId="44" applyFont="1" applyFill="1" applyBorder="1" applyAlignment="1">
      <alignment vertical="center"/>
      <protection/>
    </xf>
    <xf numFmtId="217" fontId="7" fillId="0" borderId="0" xfId="44" applyNumberFormat="1" applyFont="1" applyFill="1" applyBorder="1" applyAlignment="1">
      <alignment vertical="center"/>
      <protection/>
    </xf>
    <xf numFmtId="187" fontId="7" fillId="0" borderId="0" xfId="44" applyNumberFormat="1" applyFont="1" applyFill="1" applyBorder="1" applyAlignment="1">
      <alignment vertical="center"/>
      <protection/>
    </xf>
    <xf numFmtId="0" fontId="7" fillId="0" borderId="0" xfId="44" applyFont="1" applyFill="1" applyAlignment="1">
      <alignment vertical="center"/>
      <protection/>
    </xf>
    <xf numFmtId="43" fontId="50" fillId="0" borderId="0" xfId="38" applyFont="1" applyAlignment="1">
      <alignment vertical="center"/>
    </xf>
    <xf numFmtId="43" fontId="9" fillId="7" borderId="0" xfId="38" applyFont="1" applyFill="1" applyAlignment="1">
      <alignment vertical="center"/>
    </xf>
    <xf numFmtId="43" fontId="7" fillId="7" borderId="0" xfId="38" applyFont="1" applyFill="1" applyAlignment="1">
      <alignment vertical="center"/>
    </xf>
    <xf numFmtId="10" fontId="9" fillId="0" borderId="12" xfId="44" applyNumberFormat="1" applyFont="1" applyBorder="1" applyAlignment="1">
      <alignment horizontal="right" vertical="center"/>
      <protection/>
    </xf>
    <xf numFmtId="10" fontId="9" fillId="0" borderId="17" xfId="44" applyNumberFormat="1" applyFont="1" applyBorder="1" applyAlignment="1">
      <alignment horizontal="right" vertical="center"/>
      <protection/>
    </xf>
    <xf numFmtId="10" fontId="7" fillId="0" borderId="22" xfId="44" applyNumberFormat="1" applyFont="1" applyBorder="1" applyAlignment="1">
      <alignment horizontal="right" vertical="center"/>
      <protection/>
    </xf>
    <xf numFmtId="0" fontId="12" fillId="0" borderId="18" xfId="44" applyFont="1" applyBorder="1" applyAlignment="1">
      <alignment vertical="center"/>
      <protection/>
    </xf>
    <xf numFmtId="0" fontId="12" fillId="0" borderId="26" xfId="44" applyFont="1" applyBorder="1" applyAlignment="1">
      <alignment vertical="center"/>
      <protection/>
    </xf>
    <xf numFmtId="188" fontId="9" fillId="0" borderId="0" xfId="44" applyNumberFormat="1" applyFont="1" applyAlignment="1">
      <alignment vertical="center"/>
      <protection/>
    </xf>
    <xf numFmtId="188" fontId="6" fillId="0" borderId="0" xfId="44" applyNumberFormat="1" applyFont="1" applyAlignment="1">
      <alignment vertical="center"/>
      <protection/>
    </xf>
    <xf numFmtId="0" fontId="8" fillId="0" borderId="20" xfId="44" applyFont="1" applyBorder="1" applyAlignment="1">
      <alignment horizontal="left" vertical="center"/>
      <protection/>
    </xf>
    <xf numFmtId="0" fontId="51" fillId="0" borderId="0" xfId="44" applyFont="1" applyAlignment="1">
      <alignment vertical="center"/>
      <protection/>
    </xf>
    <xf numFmtId="0" fontId="51" fillId="0" borderId="0" xfId="44" applyFont="1" applyFill="1" applyAlignment="1">
      <alignment vertical="center"/>
      <protection/>
    </xf>
    <xf numFmtId="43" fontId="51" fillId="0" borderId="0" xfId="38" applyFont="1" applyAlignment="1">
      <alignment vertical="center"/>
    </xf>
    <xf numFmtId="43" fontId="51" fillId="0" borderId="0" xfId="44" applyNumberFormat="1" applyFont="1" applyAlignment="1">
      <alignment vertical="center"/>
      <protection/>
    </xf>
    <xf numFmtId="43" fontId="51" fillId="7" borderId="0" xfId="38" applyFont="1" applyFill="1" applyAlignment="1">
      <alignment vertical="center"/>
    </xf>
    <xf numFmtId="43" fontId="52" fillId="7" borderId="27" xfId="38" applyFont="1" applyFill="1" applyBorder="1" applyAlignment="1">
      <alignment vertical="center"/>
    </xf>
    <xf numFmtId="43" fontId="51" fillId="0" borderId="27" xfId="38" applyFont="1" applyBorder="1" applyAlignment="1">
      <alignment vertical="center"/>
    </xf>
    <xf numFmtId="0" fontId="8" fillId="0" borderId="19" xfId="44" applyFont="1" applyBorder="1" applyAlignment="1">
      <alignment horizontal="center" vertical="center"/>
      <protection/>
    </xf>
    <xf numFmtId="17" fontId="8" fillId="0" borderId="19" xfId="44" applyNumberFormat="1" applyFont="1" applyBorder="1" applyAlignment="1">
      <alignment horizontal="center" vertical="center"/>
      <protection/>
    </xf>
    <xf numFmtId="0" fontId="12" fillId="12" borderId="18" xfId="44" applyFont="1" applyFill="1" applyBorder="1" applyAlignment="1">
      <alignment vertical="center"/>
      <protection/>
    </xf>
    <xf numFmtId="0" fontId="12" fillId="12" borderId="26" xfId="44" applyFont="1" applyFill="1" applyBorder="1" applyAlignment="1">
      <alignment vertical="center"/>
      <protection/>
    </xf>
    <xf numFmtId="187" fontId="7" fillId="12" borderId="19" xfId="44" applyNumberFormat="1" applyFont="1" applyFill="1" applyBorder="1" applyAlignment="1">
      <alignment vertical="center"/>
      <protection/>
    </xf>
    <xf numFmtId="0" fontId="5" fillId="0" borderId="28" xfId="44" applyFont="1" applyBorder="1" applyAlignment="1">
      <alignment vertical="center"/>
      <protection/>
    </xf>
    <xf numFmtId="0" fontId="5" fillId="0" borderId="29" xfId="44" applyFont="1" applyBorder="1" applyAlignment="1">
      <alignment vertical="center"/>
      <protection/>
    </xf>
    <xf numFmtId="187" fontId="9" fillId="0" borderId="30" xfId="44" applyNumberFormat="1" applyFont="1" applyBorder="1" applyAlignment="1">
      <alignment vertical="center"/>
      <protection/>
    </xf>
    <xf numFmtId="0" fontId="9" fillId="0" borderId="30" xfId="44" applyFont="1" applyBorder="1" applyAlignment="1">
      <alignment vertical="center"/>
      <protection/>
    </xf>
    <xf numFmtId="187" fontId="9" fillId="0" borderId="30" xfId="44" applyNumberFormat="1" applyFont="1" applyBorder="1" applyAlignment="1">
      <alignment horizontal="right" vertical="center"/>
      <protection/>
    </xf>
    <xf numFmtId="10" fontId="9" fillId="0" borderId="30" xfId="44" applyNumberFormat="1" applyFont="1" applyBorder="1" applyAlignment="1">
      <alignment horizontal="right" vertical="center"/>
      <protection/>
    </xf>
    <xf numFmtId="43" fontId="9" fillId="0" borderId="30" xfId="38" applyFont="1" applyBorder="1" applyAlignment="1">
      <alignment vertical="center"/>
    </xf>
    <xf numFmtId="0" fontId="5" fillId="0" borderId="30" xfId="44" applyFont="1" applyBorder="1" applyAlignment="1">
      <alignment vertical="center"/>
      <protection/>
    </xf>
    <xf numFmtId="0" fontId="5" fillId="0" borderId="28" xfId="44" applyFont="1" applyBorder="1" applyAlignment="1">
      <alignment horizontal="left" vertical="center"/>
      <protection/>
    </xf>
    <xf numFmtId="10" fontId="9" fillId="0" borderId="11" xfId="44" applyNumberFormat="1" applyFont="1" applyBorder="1" applyAlignment="1">
      <alignment horizontal="right" vertical="center"/>
      <protection/>
    </xf>
    <xf numFmtId="0" fontId="5" fillId="0" borderId="31" xfId="44" applyFont="1" applyBorder="1" applyAlignment="1">
      <alignment vertical="center"/>
      <protection/>
    </xf>
    <xf numFmtId="187" fontId="9" fillId="0" borderId="32" xfId="44" applyNumberFormat="1" applyFont="1" applyBorder="1" applyAlignment="1">
      <alignment vertical="center"/>
      <protection/>
    </xf>
    <xf numFmtId="187" fontId="9" fillId="0" borderId="32" xfId="44" applyNumberFormat="1" applyFont="1" applyBorder="1" applyAlignment="1">
      <alignment horizontal="right" vertical="center"/>
      <protection/>
    </xf>
    <xf numFmtId="10" fontId="9" fillId="0" borderId="32" xfId="44" applyNumberFormat="1" applyFont="1" applyBorder="1" applyAlignment="1">
      <alignment horizontal="right" vertical="center"/>
      <protection/>
    </xf>
    <xf numFmtId="10" fontId="7" fillId="0" borderId="19" xfId="44" applyNumberFormat="1" applyFont="1" applyBorder="1" applyAlignment="1">
      <alignment vertical="center"/>
      <protection/>
    </xf>
    <xf numFmtId="10" fontId="7" fillId="12" borderId="19" xfId="44" applyNumberFormat="1" applyFont="1" applyFill="1" applyBorder="1" applyAlignment="1">
      <alignment vertical="center"/>
      <protection/>
    </xf>
    <xf numFmtId="10" fontId="7" fillId="0" borderId="19" xfId="38" applyNumberFormat="1" applyFont="1" applyBorder="1" applyAlignment="1">
      <alignment vertical="center"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7" xfId="44" applyFont="1" applyBorder="1" applyAlignment="1">
      <alignment horizontal="center" vertical="center" wrapText="1"/>
      <protection/>
    </xf>
    <xf numFmtId="0" fontId="5" fillId="0" borderId="33" xfId="44" applyFont="1" applyBorder="1" applyAlignment="1">
      <alignment horizontal="left" vertical="center"/>
      <protection/>
    </xf>
    <xf numFmtId="0" fontId="5" fillId="0" borderId="34" xfId="44" applyFont="1" applyBorder="1" applyAlignment="1">
      <alignment horizontal="left" vertical="center"/>
      <protection/>
    </xf>
    <xf numFmtId="0" fontId="9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center" vertical="center"/>
      <protection/>
    </xf>
    <xf numFmtId="0" fontId="8" fillId="0" borderId="35" xfId="44" applyFont="1" applyBorder="1" applyAlignment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8" fillId="0" borderId="36" xfId="44" applyFont="1" applyBorder="1" applyAlignment="1">
      <alignment horizontal="center" vertical="center"/>
      <protection/>
    </xf>
    <xf numFmtId="0" fontId="8" fillId="0" borderId="26" xfId="44" applyFont="1" applyBorder="1" applyAlignment="1">
      <alignment horizontal="center" vertical="center"/>
      <protection/>
    </xf>
    <xf numFmtId="10" fontId="7" fillId="12" borderId="24" xfId="44" applyNumberFormat="1" applyFont="1" applyFill="1" applyBorder="1" applyAlignment="1">
      <alignment vertical="center"/>
      <protection/>
    </xf>
    <xf numFmtId="10" fontId="7" fillId="13" borderId="24" xfId="44" applyNumberFormat="1" applyFont="1" applyFill="1" applyBorder="1" applyAlignment="1">
      <alignment vertical="center"/>
      <protection/>
    </xf>
    <xf numFmtId="0" fontId="5" fillId="0" borderId="33" xfId="44" applyFont="1" applyBorder="1" applyAlignment="1">
      <alignment vertical="center"/>
      <protection/>
    </xf>
    <xf numFmtId="0" fontId="5" fillId="0" borderId="34" xfId="44" applyFont="1" applyBorder="1" applyAlignment="1">
      <alignment vertical="center"/>
      <protection/>
    </xf>
    <xf numFmtId="0" fontId="5" fillId="0" borderId="37" xfId="44" applyFont="1" applyBorder="1" applyAlignment="1">
      <alignment vertical="center"/>
      <protection/>
    </xf>
    <xf numFmtId="0" fontId="5" fillId="0" borderId="38" xfId="44" applyFont="1" applyBorder="1" applyAlignment="1">
      <alignment vertical="center"/>
      <protection/>
    </xf>
    <xf numFmtId="187" fontId="9" fillId="0" borderId="39" xfId="44" applyNumberFormat="1" applyFont="1" applyBorder="1" applyAlignment="1">
      <alignment vertical="center"/>
      <protection/>
    </xf>
    <xf numFmtId="187" fontId="9" fillId="0" borderId="39" xfId="44" applyNumberFormat="1" applyFont="1" applyBorder="1" applyAlignment="1">
      <alignment horizontal="right" vertical="center"/>
      <protection/>
    </xf>
    <xf numFmtId="10" fontId="9" fillId="0" borderId="39" xfId="44" applyNumberFormat="1" applyFont="1" applyBorder="1" applyAlignment="1">
      <alignment horizontal="right" vertical="center"/>
      <protection/>
    </xf>
    <xf numFmtId="187" fontId="7" fillId="0" borderId="32" xfId="44" applyNumberFormat="1" applyFont="1" applyBorder="1" applyAlignment="1">
      <alignment vertical="center"/>
      <protection/>
    </xf>
    <xf numFmtId="10" fontId="7" fillId="0" borderId="32" xfId="44" applyNumberFormat="1" applyFont="1" applyBorder="1" applyAlignment="1">
      <alignment vertical="center"/>
      <protection/>
    </xf>
    <xf numFmtId="208" fontId="9" fillId="0" borderId="39" xfId="44" applyNumberFormat="1" applyFont="1" applyBorder="1" applyAlignment="1">
      <alignment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ยืนยันยอดรายได้กทม(ส่วนรวม)255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65"/>
  <sheetViews>
    <sheetView tabSelected="1" zoomScalePageLayoutView="0" workbookViewId="0" topLeftCell="A1">
      <pane ySplit="6" topLeftCell="A48" activePane="bottomLeft" state="frozen"/>
      <selection pane="topLeft" activeCell="A1" sqref="A1"/>
      <selection pane="bottomLeft" activeCell="G61" sqref="G61:H61"/>
    </sheetView>
  </sheetViews>
  <sheetFormatPr defaultColWidth="9.140625" defaultRowHeight="23.25"/>
  <cols>
    <col min="1" max="1" width="10.8515625" style="3" customWidth="1"/>
    <col min="2" max="2" width="42.140625" style="3" customWidth="1"/>
    <col min="3" max="3" width="18.8515625" style="3" customWidth="1"/>
    <col min="4" max="4" width="18.421875" style="3" customWidth="1"/>
    <col min="5" max="5" width="18.57421875" style="3" customWidth="1"/>
    <col min="6" max="6" width="17.57421875" style="3" customWidth="1"/>
    <col min="7" max="7" width="15.7109375" style="3" customWidth="1"/>
    <col min="8" max="8" width="12.00390625" style="3" customWidth="1"/>
    <col min="9" max="9" width="1.421875" style="3" customWidth="1"/>
    <col min="10" max="16384" width="9.140625" style="3" customWidth="1"/>
  </cols>
  <sheetData>
    <row r="1" spans="1:8" ht="21.75" customHeight="1">
      <c r="A1" s="94" t="s">
        <v>62</v>
      </c>
      <c r="B1" s="94"/>
      <c r="C1" s="94"/>
      <c r="D1" s="94"/>
      <c r="E1" s="94"/>
      <c r="F1" s="94"/>
      <c r="G1" s="94"/>
      <c r="H1" s="94"/>
    </row>
    <row r="2" spans="1:8" ht="21.75" customHeight="1">
      <c r="A2" s="94" t="s">
        <v>3</v>
      </c>
      <c r="B2" s="94"/>
      <c r="C2" s="94"/>
      <c r="D2" s="94"/>
      <c r="E2" s="94"/>
      <c r="F2" s="94"/>
      <c r="G2" s="94"/>
      <c r="H2" s="94"/>
    </row>
    <row r="3" spans="1:8" ht="19.5" customHeight="1">
      <c r="A3" s="95"/>
      <c r="B3" s="95"/>
      <c r="C3" s="95"/>
      <c r="D3" s="95"/>
      <c r="E3" s="95"/>
      <c r="F3" s="95"/>
      <c r="G3" s="4"/>
      <c r="H3" s="5" t="s">
        <v>1</v>
      </c>
    </row>
    <row r="4" spans="1:8" s="7" customFormat="1" ht="21.75" customHeight="1">
      <c r="A4" s="96" t="s">
        <v>2</v>
      </c>
      <c r="B4" s="97"/>
      <c r="C4" s="102" t="s">
        <v>48</v>
      </c>
      <c r="D4" s="103"/>
      <c r="E4" s="104"/>
      <c r="F4" s="88" t="s">
        <v>58</v>
      </c>
      <c r="G4" s="88" t="s">
        <v>59</v>
      </c>
      <c r="H4" s="6"/>
    </row>
    <row r="5" spans="1:8" s="7" customFormat="1" ht="21.75" customHeight="1">
      <c r="A5" s="98"/>
      <c r="B5" s="99"/>
      <c r="C5" s="8" t="s">
        <v>49</v>
      </c>
      <c r="D5" s="96" t="s">
        <v>56</v>
      </c>
      <c r="E5" s="97"/>
      <c r="F5" s="89"/>
      <c r="G5" s="89"/>
      <c r="H5" s="8" t="s">
        <v>0</v>
      </c>
    </row>
    <row r="6" spans="1:8" s="7" customFormat="1" ht="21.75" customHeight="1">
      <c r="A6" s="100"/>
      <c r="B6" s="101"/>
      <c r="C6" s="8">
        <v>2565</v>
      </c>
      <c r="D6" s="66" t="s">
        <v>65</v>
      </c>
      <c r="E6" s="67">
        <v>24198</v>
      </c>
      <c r="F6" s="90"/>
      <c r="G6" s="90"/>
      <c r="H6" s="8"/>
    </row>
    <row r="7" spans="1:8" s="10" customFormat="1" ht="21.75" customHeight="1">
      <c r="A7" s="58" t="s">
        <v>55</v>
      </c>
      <c r="B7" s="1"/>
      <c r="C7" s="9"/>
      <c r="D7" s="9"/>
      <c r="E7" s="9"/>
      <c r="F7" s="9"/>
      <c r="G7" s="9"/>
      <c r="H7" s="9"/>
    </row>
    <row r="8" spans="1:8" ht="21.75" customHeight="1">
      <c r="A8" s="71" t="s">
        <v>5</v>
      </c>
      <c r="B8" s="72"/>
      <c r="C8" s="73"/>
      <c r="D8" s="73"/>
      <c r="E8" s="73"/>
      <c r="F8" s="73"/>
      <c r="G8" s="73"/>
      <c r="H8" s="74"/>
    </row>
    <row r="9" spans="1:8" ht="21.75" customHeight="1">
      <c r="A9" s="71" t="s">
        <v>11</v>
      </c>
      <c r="B9" s="72"/>
      <c r="C9" s="73"/>
      <c r="D9" s="73"/>
      <c r="E9" s="73"/>
      <c r="F9" s="73"/>
      <c r="G9" s="73"/>
      <c r="H9" s="74"/>
    </row>
    <row r="10" spans="1:8" ht="21.75" customHeight="1">
      <c r="A10" s="71" t="s">
        <v>12</v>
      </c>
      <c r="B10" s="72"/>
      <c r="C10" s="73">
        <v>56047.16</v>
      </c>
      <c r="D10" s="73">
        <f>2689.02+'มี.ค.66'!E11</f>
        <v>3427.86</v>
      </c>
      <c r="E10" s="75">
        <v>2860.41</v>
      </c>
      <c r="F10" s="75">
        <v>50000</v>
      </c>
      <c r="G10" s="76">
        <f>(D10+E10)/F10</f>
        <v>0.1257654</v>
      </c>
      <c r="H10" s="77"/>
    </row>
    <row r="11" spans="1:8" ht="21.75" customHeight="1">
      <c r="A11" s="71" t="s">
        <v>13</v>
      </c>
      <c r="B11" s="72"/>
      <c r="C11" s="73">
        <v>2359664.25</v>
      </c>
      <c r="D11" s="73">
        <f>5186174.75+'มี.ค.66'!E12</f>
        <v>5194817.75</v>
      </c>
      <c r="E11" s="75">
        <v>0</v>
      </c>
      <c r="F11" s="75">
        <v>0</v>
      </c>
      <c r="G11" s="76" t="s">
        <v>67</v>
      </c>
      <c r="H11" s="77"/>
    </row>
    <row r="12" spans="1:8" ht="21.75" customHeight="1">
      <c r="A12" s="71" t="s">
        <v>14</v>
      </c>
      <c r="B12" s="72"/>
      <c r="C12" s="73">
        <v>12446796.52</v>
      </c>
      <c r="D12" s="73">
        <f>3547196.77+'มี.ค.66'!E13</f>
        <v>7916958.109999999</v>
      </c>
      <c r="E12" s="75">
        <v>2496286.16</v>
      </c>
      <c r="F12" s="75">
        <v>8000000</v>
      </c>
      <c r="G12" s="76">
        <f>(D12+E12)/F12</f>
        <v>1.30165553375</v>
      </c>
      <c r="H12" s="77"/>
    </row>
    <row r="13" spans="1:8" ht="21.75" customHeight="1">
      <c r="A13" s="71" t="s">
        <v>46</v>
      </c>
      <c r="B13" s="72"/>
      <c r="C13" s="73">
        <v>110991341.41</v>
      </c>
      <c r="D13" s="73">
        <f>4752581.52+'มี.ค.66'!E14</f>
        <v>5346210.76</v>
      </c>
      <c r="E13" s="75">
        <v>183131.16</v>
      </c>
      <c r="F13" s="75">
        <v>30500000</v>
      </c>
      <c r="G13" s="76">
        <f>(D13+E13)/F13</f>
        <v>0.18128989901639345</v>
      </c>
      <c r="H13" s="77"/>
    </row>
    <row r="14" spans="1:8" ht="21.75" customHeight="1">
      <c r="A14" s="17" t="s">
        <v>15</v>
      </c>
      <c r="B14" s="18"/>
      <c r="C14" s="19">
        <v>3108068.24</v>
      </c>
      <c r="D14" s="19">
        <f>1605511.75+'มี.ค.66'!E15</f>
        <v>1962805.19</v>
      </c>
      <c r="E14" s="20">
        <v>374698.99</v>
      </c>
      <c r="F14" s="15">
        <v>3500000</v>
      </c>
      <c r="G14" s="76">
        <f>(D14+E14)/F14</f>
        <v>0.667858337142857</v>
      </c>
      <c r="H14" s="16"/>
    </row>
    <row r="15" spans="1:8" s="23" customFormat="1" ht="21.75" customHeight="1">
      <c r="A15" s="54" t="s">
        <v>8</v>
      </c>
      <c r="B15" s="55"/>
      <c r="C15" s="22">
        <f>SUM(C10:C14)</f>
        <v>128961917.58</v>
      </c>
      <c r="D15" s="22">
        <f>SUM(D10:D14)</f>
        <v>20424219.669999998</v>
      </c>
      <c r="E15" s="22">
        <f>SUM(E10:E14)</f>
        <v>3056976.7200000007</v>
      </c>
      <c r="F15" s="22">
        <f>SUM(F10:F14)</f>
        <v>42050000</v>
      </c>
      <c r="G15" s="85">
        <f>(D15+E15)/F15</f>
        <v>0.5584113291319858</v>
      </c>
      <c r="H15" s="22"/>
    </row>
    <row r="16" spans="1:8" s="23" customFormat="1" ht="21.75" customHeight="1">
      <c r="A16" s="68" t="s">
        <v>34</v>
      </c>
      <c r="B16" s="69"/>
      <c r="C16" s="70">
        <f>C15</f>
        <v>128961917.58</v>
      </c>
      <c r="D16" s="70">
        <f>D15</f>
        <v>20424219.669999998</v>
      </c>
      <c r="E16" s="70">
        <f>E15</f>
        <v>3056976.7200000007</v>
      </c>
      <c r="F16" s="70">
        <f>F15</f>
        <v>42050000</v>
      </c>
      <c r="G16" s="86">
        <f>(D16+E16)/F16</f>
        <v>0.5584113291319858</v>
      </c>
      <c r="H16" s="70"/>
    </row>
    <row r="17" spans="1:8" ht="21.75" customHeight="1">
      <c r="A17" s="11" t="s">
        <v>4</v>
      </c>
      <c r="B17" s="12"/>
      <c r="C17" s="13"/>
      <c r="D17" s="13"/>
      <c r="E17" s="13"/>
      <c r="F17" s="13"/>
      <c r="G17" s="51"/>
      <c r="H17" s="14"/>
    </row>
    <row r="18" spans="1:8" ht="21.75" customHeight="1">
      <c r="A18" s="71" t="s">
        <v>9</v>
      </c>
      <c r="B18" s="72"/>
      <c r="C18" s="73"/>
      <c r="D18" s="73"/>
      <c r="E18" s="73"/>
      <c r="F18" s="73"/>
      <c r="G18" s="76"/>
      <c r="H18" s="74"/>
    </row>
    <row r="19" spans="1:8" ht="21.75" customHeight="1">
      <c r="A19" s="71" t="s">
        <v>17</v>
      </c>
      <c r="B19" s="72"/>
      <c r="C19" s="73">
        <v>11600492</v>
      </c>
      <c r="D19" s="73">
        <f>4569781+'มี.ค.66'!E20</f>
        <v>5984181</v>
      </c>
      <c r="E19" s="75">
        <v>1135860</v>
      </c>
      <c r="F19" s="75">
        <v>13000000</v>
      </c>
      <c r="G19" s="76">
        <f>(D19+E19)/F19</f>
        <v>0.5476954615384615</v>
      </c>
      <c r="H19" s="73"/>
    </row>
    <row r="20" spans="1:8" ht="21.75" customHeight="1">
      <c r="A20" s="71" t="s">
        <v>16</v>
      </c>
      <c r="B20" s="72"/>
      <c r="C20" s="73">
        <v>856000</v>
      </c>
      <c r="D20" s="73">
        <f>345000+'มี.ค.66'!E21</f>
        <v>424600</v>
      </c>
      <c r="E20" s="75">
        <v>105680</v>
      </c>
      <c r="F20" s="75">
        <v>900000</v>
      </c>
      <c r="G20" s="76">
        <f>(D20+E20)/F20</f>
        <v>0.5892</v>
      </c>
      <c r="H20" s="73"/>
    </row>
    <row r="21" spans="1:8" ht="21.75" customHeight="1">
      <c r="A21" s="71" t="s">
        <v>18</v>
      </c>
      <c r="B21" s="72"/>
      <c r="C21" s="73">
        <v>555781</v>
      </c>
      <c r="D21" s="73">
        <f>205892+'มี.ค.66'!E22</f>
        <v>232169</v>
      </c>
      <c r="E21" s="75">
        <v>31740</v>
      </c>
      <c r="F21" s="75">
        <v>6705</v>
      </c>
      <c r="G21" s="76">
        <f>(D21+E21)/F21</f>
        <v>39.360029828486205</v>
      </c>
      <c r="H21" s="73"/>
    </row>
    <row r="22" spans="1:8" ht="21.75" customHeight="1">
      <c r="A22" s="71" t="s">
        <v>53</v>
      </c>
      <c r="B22" s="72"/>
      <c r="C22" s="73"/>
      <c r="D22" s="73"/>
      <c r="E22" s="75"/>
      <c r="F22" s="75"/>
      <c r="G22" s="76" t="s">
        <v>67</v>
      </c>
      <c r="H22" s="73"/>
    </row>
    <row r="23" spans="1:8" ht="21.75" customHeight="1">
      <c r="A23" s="71" t="s">
        <v>54</v>
      </c>
      <c r="B23" s="72"/>
      <c r="C23" s="73">
        <v>11680</v>
      </c>
      <c r="D23" s="73">
        <f>327410+'มี.ค.66'!E24</f>
        <v>499810</v>
      </c>
      <c r="E23" s="75">
        <v>126330</v>
      </c>
      <c r="F23" s="75">
        <v>1500000</v>
      </c>
      <c r="G23" s="76">
        <f>(D23+E23)/F23</f>
        <v>0.41742666666666667</v>
      </c>
      <c r="H23" s="73"/>
    </row>
    <row r="24" spans="1:8" ht="21.75" customHeight="1">
      <c r="A24" s="71" t="s">
        <v>19</v>
      </c>
      <c r="B24" s="72"/>
      <c r="C24" s="73"/>
      <c r="D24" s="73"/>
      <c r="E24" s="75"/>
      <c r="F24" s="75"/>
      <c r="G24" s="76" t="s">
        <v>67</v>
      </c>
      <c r="H24" s="73"/>
    </row>
    <row r="25" spans="1:8" ht="21.75" customHeight="1">
      <c r="A25" s="71" t="s">
        <v>20</v>
      </c>
      <c r="B25" s="72"/>
      <c r="C25" s="73">
        <v>26554</v>
      </c>
      <c r="D25" s="73">
        <f>9910+'มี.ค.66'!E26</f>
        <v>12670</v>
      </c>
      <c r="E25" s="75">
        <v>1520</v>
      </c>
      <c r="F25" s="75">
        <v>26780</v>
      </c>
      <c r="G25" s="76">
        <f>(D25+E25)/F25</f>
        <v>0.5298730395817774</v>
      </c>
      <c r="H25" s="73"/>
    </row>
    <row r="26" spans="1:8" ht="21.75" customHeight="1">
      <c r="A26" s="71" t="s">
        <v>21</v>
      </c>
      <c r="B26" s="72"/>
      <c r="C26" s="73">
        <v>67600</v>
      </c>
      <c r="D26" s="73">
        <f>16050+'มี.ค.66'!E27</f>
        <v>21500</v>
      </c>
      <c r="E26" s="75">
        <v>2600</v>
      </c>
      <c r="F26" s="75">
        <v>80000</v>
      </c>
      <c r="G26" s="76">
        <f>(D26+E26)/F26</f>
        <v>0.30125</v>
      </c>
      <c r="H26" s="73"/>
    </row>
    <row r="27" spans="1:8" ht="21.75" customHeight="1">
      <c r="A27" s="107" t="s">
        <v>52</v>
      </c>
      <c r="B27" s="108"/>
      <c r="C27" s="82"/>
      <c r="D27" s="82"/>
      <c r="E27" s="83"/>
      <c r="F27" s="83"/>
      <c r="G27" s="84" t="s">
        <v>67</v>
      </c>
      <c r="H27" s="82"/>
    </row>
    <row r="28" spans="1:8" ht="19.5" customHeight="1">
      <c r="A28" s="109" t="s">
        <v>10</v>
      </c>
      <c r="B28" s="110"/>
      <c r="C28" s="111"/>
      <c r="D28" s="111"/>
      <c r="E28" s="112"/>
      <c r="F28" s="112"/>
      <c r="G28" s="113" t="s">
        <v>67</v>
      </c>
      <c r="H28" s="111"/>
    </row>
    <row r="29" spans="1:8" ht="19.5" customHeight="1">
      <c r="A29" s="71" t="s">
        <v>22</v>
      </c>
      <c r="B29" s="72"/>
      <c r="C29" s="73"/>
      <c r="D29" s="73">
        <f>855973.2+'มี.ค.66'!E31</f>
        <v>1004683.2</v>
      </c>
      <c r="E29" s="75">
        <v>62460</v>
      </c>
      <c r="F29" s="75">
        <v>1954613</v>
      </c>
      <c r="G29" s="76">
        <f>(D29+E29)/F29</f>
        <v>0.5459613744511062</v>
      </c>
      <c r="H29" s="73"/>
    </row>
    <row r="30" spans="1:8" ht="19.5" customHeight="1">
      <c r="A30" s="71" t="s">
        <v>45</v>
      </c>
      <c r="B30" s="72"/>
      <c r="C30" s="73"/>
      <c r="D30" s="73">
        <f>130980+'มี.ค.66'!E32</f>
        <v>167800</v>
      </c>
      <c r="E30" s="75">
        <v>12560</v>
      </c>
      <c r="F30" s="75">
        <v>509275</v>
      </c>
      <c r="G30" s="76">
        <f>(D30+E30)/F30</f>
        <v>0.35415050807520493</v>
      </c>
      <c r="H30" s="73"/>
    </row>
    <row r="31" spans="1:8" ht="19.5" customHeight="1">
      <c r="A31" s="71" t="s">
        <v>23</v>
      </c>
      <c r="B31" s="71"/>
      <c r="C31" s="73">
        <v>16725</v>
      </c>
      <c r="D31" s="73">
        <f>3480+'มี.ค.66'!E33</f>
        <v>4025</v>
      </c>
      <c r="E31" s="75">
        <v>345</v>
      </c>
      <c r="F31" s="75">
        <v>18225</v>
      </c>
      <c r="G31" s="76">
        <f>(D31+E31)/F31</f>
        <v>0.23978052126200275</v>
      </c>
      <c r="H31" s="73"/>
    </row>
    <row r="32" spans="1:8" ht="19.5" customHeight="1">
      <c r="A32" s="71" t="s">
        <v>24</v>
      </c>
      <c r="B32" s="71"/>
      <c r="C32" s="73"/>
      <c r="D32" s="73">
        <f>55000+'มี.ค.66'!E34</f>
        <v>55000</v>
      </c>
      <c r="E32" s="75">
        <v>10000</v>
      </c>
      <c r="F32" s="75">
        <v>123000</v>
      </c>
      <c r="G32" s="76">
        <f>(D32+E32)/F32</f>
        <v>0.5284552845528455</v>
      </c>
      <c r="H32" s="73"/>
    </row>
    <row r="33" spans="1:8" ht="19.5" customHeight="1">
      <c r="A33" s="71" t="s">
        <v>25</v>
      </c>
      <c r="B33" s="71"/>
      <c r="C33" s="73">
        <v>25700</v>
      </c>
      <c r="D33" s="73">
        <f>1500+'มี.ค.66'!E35</f>
        <v>1500</v>
      </c>
      <c r="E33" s="75"/>
      <c r="F33" s="75">
        <v>3000</v>
      </c>
      <c r="G33" s="76">
        <f>(D33+E33)/F33</f>
        <v>0.5</v>
      </c>
      <c r="H33" s="73"/>
    </row>
    <row r="34" spans="1:8" ht="19.5" customHeight="1">
      <c r="A34" s="71" t="s">
        <v>44</v>
      </c>
      <c r="B34" s="71"/>
      <c r="C34" s="73"/>
      <c r="D34" s="73">
        <f>50170+'มี.ค.66'!E36</f>
        <v>69510</v>
      </c>
      <c r="E34" s="75">
        <v>9980</v>
      </c>
      <c r="F34" s="75"/>
      <c r="G34" s="76" t="s">
        <v>67</v>
      </c>
      <c r="H34" s="73"/>
    </row>
    <row r="35" spans="1:8" ht="19.5" customHeight="1">
      <c r="A35" s="71" t="s">
        <v>63</v>
      </c>
      <c r="B35" s="81"/>
      <c r="C35" s="73"/>
      <c r="D35" s="73">
        <f>50+'มี.ค.66'!E37</f>
        <v>50</v>
      </c>
      <c r="E35" s="75"/>
      <c r="F35" s="75"/>
      <c r="G35" s="76" t="s">
        <v>67</v>
      </c>
      <c r="H35" s="73"/>
    </row>
    <row r="36" spans="1:8" ht="19.5" customHeight="1">
      <c r="A36" s="71" t="s">
        <v>32</v>
      </c>
      <c r="B36" s="72"/>
      <c r="C36" s="73"/>
      <c r="D36" s="73"/>
      <c r="E36" s="75"/>
      <c r="F36" s="75"/>
      <c r="G36" s="76" t="s">
        <v>67</v>
      </c>
      <c r="H36" s="73"/>
    </row>
    <row r="37" spans="1:8" ht="19.5" customHeight="1">
      <c r="A37" s="71" t="s">
        <v>26</v>
      </c>
      <c r="B37" s="72"/>
      <c r="C37" s="73">
        <v>157280</v>
      </c>
      <c r="D37" s="73">
        <f>73212+'มี.ค.66'!E39</f>
        <v>94514</v>
      </c>
      <c r="E37" s="75">
        <v>16652</v>
      </c>
      <c r="F37" s="75">
        <v>311972</v>
      </c>
      <c r="G37" s="76">
        <f>(D37+E37)/F37</f>
        <v>0.35633326067724025</v>
      </c>
      <c r="H37" s="73"/>
    </row>
    <row r="38" spans="1:8" ht="19.5" customHeight="1">
      <c r="A38" s="71" t="s">
        <v>50</v>
      </c>
      <c r="B38" s="72"/>
      <c r="C38" s="73"/>
      <c r="D38" s="73">
        <f>45000+'มี.ค.66'!E40</f>
        <v>45000</v>
      </c>
      <c r="E38" s="75"/>
      <c r="F38" s="75"/>
      <c r="G38" s="76" t="s">
        <v>67</v>
      </c>
      <c r="H38" s="73"/>
    </row>
    <row r="39" spans="1:8" ht="19.5" customHeight="1">
      <c r="A39" s="71" t="s">
        <v>33</v>
      </c>
      <c r="B39" s="72"/>
      <c r="C39" s="73"/>
      <c r="D39" s="73"/>
      <c r="E39" s="75"/>
      <c r="F39" s="75"/>
      <c r="G39" s="76" t="s">
        <v>67</v>
      </c>
      <c r="H39" s="73"/>
    </row>
    <row r="40" spans="1:8" ht="19.5" customHeight="1">
      <c r="A40" s="78" t="s">
        <v>27</v>
      </c>
      <c r="B40" s="78"/>
      <c r="C40" s="73">
        <v>2535</v>
      </c>
      <c r="D40" s="73">
        <f>50150+'มี.ค.66'!E42</f>
        <v>84585</v>
      </c>
      <c r="E40" s="75">
        <v>29530</v>
      </c>
      <c r="F40" s="75"/>
      <c r="G40" s="76" t="s">
        <v>67</v>
      </c>
      <c r="H40" s="73"/>
    </row>
    <row r="41" spans="1:8" ht="19.5" customHeight="1">
      <c r="A41" s="79" t="s">
        <v>28</v>
      </c>
      <c r="B41" s="79"/>
      <c r="C41" s="73"/>
      <c r="D41" s="73"/>
      <c r="E41" s="75"/>
      <c r="F41" s="75"/>
      <c r="G41" s="76" t="s">
        <v>67</v>
      </c>
      <c r="H41" s="73"/>
    </row>
    <row r="42" spans="1:8" ht="19.5" customHeight="1">
      <c r="A42" s="78" t="s">
        <v>29</v>
      </c>
      <c r="B42" s="78"/>
      <c r="C42" s="73">
        <v>106180</v>
      </c>
      <c r="D42" s="73">
        <f>63980+'มี.ค.66'!E44</f>
        <v>75470</v>
      </c>
      <c r="E42" s="75">
        <v>1540</v>
      </c>
      <c r="F42" s="75"/>
      <c r="G42" s="76" t="s">
        <v>67</v>
      </c>
      <c r="H42" s="73"/>
    </row>
    <row r="43" spans="1:8" ht="19.5" customHeight="1">
      <c r="A43" s="78" t="s">
        <v>30</v>
      </c>
      <c r="B43" s="78"/>
      <c r="C43" s="73">
        <v>2900</v>
      </c>
      <c r="D43" s="73">
        <f>12800+'มี.ค.66'!E45</f>
        <v>32000</v>
      </c>
      <c r="E43" s="75">
        <v>0</v>
      </c>
      <c r="F43" s="75"/>
      <c r="G43" s="76" t="s">
        <v>67</v>
      </c>
      <c r="H43" s="75"/>
    </row>
    <row r="44" spans="1:8" ht="19.5" customHeight="1">
      <c r="A44" s="78" t="s">
        <v>47</v>
      </c>
      <c r="B44" s="71"/>
      <c r="C44" s="73">
        <v>19000</v>
      </c>
      <c r="D44" s="73"/>
      <c r="E44" s="75"/>
      <c r="F44" s="75"/>
      <c r="G44" s="76" t="s">
        <v>67</v>
      </c>
      <c r="H44" s="75"/>
    </row>
    <row r="45" spans="1:8" ht="19.5" customHeight="1">
      <c r="A45" s="11" t="s">
        <v>31</v>
      </c>
      <c r="B45" s="11"/>
      <c r="C45" s="13"/>
      <c r="D45" s="13">
        <f>59100+'มี.ค.66'!E47</f>
        <v>101900</v>
      </c>
      <c r="E45" s="15">
        <v>12100</v>
      </c>
      <c r="F45" s="15"/>
      <c r="G45" s="76" t="s">
        <v>67</v>
      </c>
      <c r="H45" s="13"/>
    </row>
    <row r="46" spans="1:8" s="23" customFormat="1" ht="19.5" customHeight="1">
      <c r="A46" s="21" t="s">
        <v>35</v>
      </c>
      <c r="B46" s="21"/>
      <c r="C46" s="28">
        <f>SUM(C19:C45)</f>
        <v>13448427</v>
      </c>
      <c r="D46" s="28">
        <f>SUM(D19:D45)</f>
        <v>8910967.2</v>
      </c>
      <c r="E46" s="28">
        <f>SUM(E19:E45)</f>
        <v>1558897</v>
      </c>
      <c r="F46" s="28">
        <f>SUM(F19:F45)</f>
        <v>18433570</v>
      </c>
      <c r="G46" s="87">
        <f>(D46+E46)/F46</f>
        <v>0.5679781073335224</v>
      </c>
      <c r="H46" s="28"/>
    </row>
    <row r="47" spans="1:8" ht="19.5" customHeight="1">
      <c r="A47" s="11" t="s">
        <v>6</v>
      </c>
      <c r="B47" s="11"/>
      <c r="C47" s="29"/>
      <c r="D47" s="29"/>
      <c r="E47" s="30"/>
      <c r="F47" s="30"/>
      <c r="G47" s="51"/>
      <c r="H47" s="31"/>
    </row>
    <row r="48" spans="1:8" ht="19.5" customHeight="1">
      <c r="A48" s="71" t="s">
        <v>36</v>
      </c>
      <c r="B48" s="71"/>
      <c r="C48" s="73">
        <v>255920</v>
      </c>
      <c r="D48" s="73">
        <f>107870+'มี.ค.66'!E50</f>
        <v>129924</v>
      </c>
      <c r="E48" s="75">
        <v>22054</v>
      </c>
      <c r="F48" s="75">
        <v>0</v>
      </c>
      <c r="G48" s="76" t="s">
        <v>67</v>
      </c>
      <c r="H48" s="73"/>
    </row>
    <row r="49" spans="1:8" ht="19.5" customHeight="1">
      <c r="A49" s="11" t="s">
        <v>37</v>
      </c>
      <c r="B49" s="11"/>
      <c r="C49" s="13">
        <v>503599.43</v>
      </c>
      <c r="D49" s="13"/>
      <c r="E49" s="15"/>
      <c r="F49" s="15"/>
      <c r="G49" s="51"/>
      <c r="H49" s="13"/>
    </row>
    <row r="50" spans="1:8" ht="19.5" customHeight="1">
      <c r="A50" s="107" t="s">
        <v>38</v>
      </c>
      <c r="B50" s="107"/>
      <c r="C50" s="114">
        <f>SUM(C48:C49)</f>
        <v>759519.4299999999</v>
      </c>
      <c r="D50" s="114">
        <f>SUM(D48:D49)</f>
        <v>129924</v>
      </c>
      <c r="E50" s="114">
        <f>SUM(E48:E49)</f>
        <v>22054</v>
      </c>
      <c r="F50" s="114">
        <v>0</v>
      </c>
      <c r="G50" s="115">
        <v>0</v>
      </c>
      <c r="H50" s="114"/>
    </row>
    <row r="51" spans="1:8" ht="21.75" customHeight="1">
      <c r="A51" s="109" t="s">
        <v>7</v>
      </c>
      <c r="B51" s="109"/>
      <c r="C51" s="111"/>
      <c r="D51" s="111"/>
      <c r="E51" s="111"/>
      <c r="F51" s="111"/>
      <c r="G51" s="113"/>
      <c r="H51" s="116"/>
    </row>
    <row r="52" spans="1:8" ht="21.75" customHeight="1">
      <c r="A52" s="71" t="s">
        <v>39</v>
      </c>
      <c r="B52" s="71"/>
      <c r="C52" s="73">
        <v>279991.97</v>
      </c>
      <c r="D52" s="73">
        <f>170885.7+'มี.ค.66'!E54</f>
        <v>170885.7</v>
      </c>
      <c r="E52" s="75"/>
      <c r="F52" s="75"/>
      <c r="G52" s="76" t="s">
        <v>67</v>
      </c>
      <c r="H52" s="75"/>
    </row>
    <row r="53" spans="1:8" ht="21.75" customHeight="1">
      <c r="A53" s="71" t="s">
        <v>40</v>
      </c>
      <c r="B53" s="71"/>
      <c r="C53" s="73">
        <f>182200+493053.63</f>
        <v>675253.63</v>
      </c>
      <c r="D53" s="73">
        <f>155159.73+'มี.ค.66'!E55</f>
        <v>177249.73</v>
      </c>
      <c r="E53" s="75">
        <v>308225.6</v>
      </c>
      <c r="F53" s="75"/>
      <c r="G53" s="76" t="s">
        <v>67</v>
      </c>
      <c r="H53" s="75"/>
    </row>
    <row r="54" spans="1:8" ht="21.75" customHeight="1">
      <c r="A54" s="71" t="s">
        <v>64</v>
      </c>
      <c r="B54" s="71"/>
      <c r="C54" s="73"/>
      <c r="D54" s="73">
        <f>+'มี.ค.66'!E56</f>
        <v>235000</v>
      </c>
      <c r="E54" s="75">
        <v>0</v>
      </c>
      <c r="F54" s="75"/>
      <c r="G54" s="76" t="s">
        <v>67</v>
      </c>
      <c r="H54" s="75"/>
    </row>
    <row r="55" spans="1:8" ht="21.75" customHeight="1">
      <c r="A55" s="91" t="s">
        <v>66</v>
      </c>
      <c r="B55" s="92"/>
      <c r="C55" s="82"/>
      <c r="D55" s="82"/>
      <c r="E55" s="83">
        <v>1000</v>
      </c>
      <c r="F55" s="83"/>
      <c r="G55" s="76" t="s">
        <v>67</v>
      </c>
      <c r="H55" s="83"/>
    </row>
    <row r="56" spans="1:8" s="23" customFormat="1" ht="21.75" customHeight="1" thickBot="1">
      <c r="A56" s="33" t="s">
        <v>41</v>
      </c>
      <c r="B56" s="34"/>
      <c r="C56" s="35">
        <f>SUM(C52:C55)</f>
        <v>955245.6</v>
      </c>
      <c r="D56" s="35">
        <f>SUM(D52:D55)</f>
        <v>583135.43</v>
      </c>
      <c r="E56" s="35">
        <f>SUM(E52:E55)</f>
        <v>309225.6</v>
      </c>
      <c r="F56" s="35"/>
      <c r="G56" s="53"/>
      <c r="H56" s="35"/>
    </row>
    <row r="57" spans="1:8" s="23" customFormat="1" ht="24" customHeight="1" thickBot="1" thickTop="1">
      <c r="A57" s="36" t="s">
        <v>42</v>
      </c>
      <c r="B57" s="37"/>
      <c r="C57" s="38">
        <f>C56+C50+C46</f>
        <v>15163192.03</v>
      </c>
      <c r="D57" s="38">
        <f>D56+D50+D46</f>
        <v>9624026.629999999</v>
      </c>
      <c r="E57" s="38">
        <f>E56+E50+E46</f>
        <v>1890176.6</v>
      </c>
      <c r="F57" s="38">
        <f>F56+F50+F46</f>
        <v>18433570</v>
      </c>
      <c r="G57" s="105">
        <f>(D57+E57)/F57</f>
        <v>0.624632300200124</v>
      </c>
      <c r="H57" s="38"/>
    </row>
    <row r="58" spans="1:8" s="42" customFormat="1" ht="24.75" customHeight="1" thickBot="1" thickTop="1">
      <c r="A58" s="39" t="s">
        <v>43</v>
      </c>
      <c r="B58" s="40"/>
      <c r="C58" s="41">
        <f>C57+C16</f>
        <v>144125109.60999998</v>
      </c>
      <c r="D58" s="41">
        <f>D57+D16</f>
        <v>30048246.299999997</v>
      </c>
      <c r="E58" s="41">
        <f>E57+E16</f>
        <v>4947153.32</v>
      </c>
      <c r="F58" s="41">
        <f>F57+F16</f>
        <v>60483570</v>
      </c>
      <c r="G58" s="106">
        <f>(D58+E58)/F58</f>
        <v>0.5785934861318536</v>
      </c>
      <c r="H58" s="41"/>
    </row>
    <row r="59" spans="1:8" s="47" customFormat="1" ht="15" customHeight="1" thickTop="1">
      <c r="A59" s="43"/>
      <c r="B59" s="44"/>
      <c r="C59" s="45"/>
      <c r="D59" s="45"/>
      <c r="E59" s="46"/>
      <c r="F59" s="46"/>
      <c r="G59" s="46"/>
      <c r="H59" s="46"/>
    </row>
    <row r="60" ht="24">
      <c r="E60" s="56"/>
    </row>
    <row r="61" spans="5:8" ht="24.75" customHeight="1">
      <c r="E61" s="2"/>
      <c r="G61" s="93" t="s">
        <v>68</v>
      </c>
      <c r="H61" s="93"/>
    </row>
    <row r="62" spans="7:8" ht="24">
      <c r="G62" s="93" t="s">
        <v>61</v>
      </c>
      <c r="H62" s="93"/>
    </row>
    <row r="63" ht="24.75" customHeight="1">
      <c r="E63" s="48"/>
    </row>
    <row r="65" ht="15">
      <c r="E65" s="57"/>
    </row>
  </sheetData>
  <sheetProtection/>
  <mergeCells count="11">
    <mergeCell ref="F4:F6"/>
    <mergeCell ref="G4:G6"/>
    <mergeCell ref="A55:B55"/>
    <mergeCell ref="G61:H61"/>
    <mergeCell ref="G62:H62"/>
    <mergeCell ref="A1:H1"/>
    <mergeCell ref="A2:H2"/>
    <mergeCell ref="A3:F3"/>
    <mergeCell ref="A4:B6"/>
    <mergeCell ref="C4:E4"/>
    <mergeCell ref="D5:E5"/>
  </mergeCells>
  <printOptions/>
  <pageMargins left="0.4330708661417323" right="0.4330708661417323" top="0.41" bottom="0.28" header="0" footer="0"/>
  <pageSetup fitToHeight="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45">
      <selection activeCell="D11" sqref="D11"/>
    </sheetView>
  </sheetViews>
  <sheetFormatPr defaultColWidth="9.140625" defaultRowHeight="23.25"/>
  <cols>
    <col min="1" max="1" width="10.8515625" style="3" customWidth="1"/>
    <col min="2" max="2" width="42.28125" style="3" customWidth="1"/>
    <col min="3" max="5" width="17.28125" style="3" customWidth="1"/>
    <col min="6" max="6" width="15.57421875" style="3" customWidth="1"/>
    <col min="7" max="7" width="18.28125" style="3" customWidth="1"/>
    <col min="8" max="8" width="12.00390625" style="3" customWidth="1"/>
    <col min="9" max="9" width="1.421875" style="3" customWidth="1"/>
    <col min="10" max="10" width="17.8515625" style="49" hidden="1" customWidth="1"/>
    <col min="11" max="11" width="14.140625" style="59" hidden="1" customWidth="1"/>
    <col min="12" max="12" width="17.140625" style="59" hidden="1" customWidth="1"/>
    <col min="13" max="16384" width="9.140625" style="3" customWidth="1"/>
  </cols>
  <sheetData>
    <row r="1" ht="6" customHeight="1"/>
    <row r="2" spans="1:8" ht="21.75" customHeight="1">
      <c r="A2" s="94" t="s">
        <v>62</v>
      </c>
      <c r="B2" s="94"/>
      <c r="C2" s="94"/>
      <c r="D2" s="94"/>
      <c r="E2" s="94"/>
      <c r="F2" s="94"/>
      <c r="G2" s="94"/>
      <c r="H2" s="94"/>
    </row>
    <row r="3" spans="1:8" ht="21.75" customHeight="1">
      <c r="A3" s="94" t="s">
        <v>3</v>
      </c>
      <c r="B3" s="94"/>
      <c r="C3" s="94"/>
      <c r="D3" s="94"/>
      <c r="E3" s="94"/>
      <c r="F3" s="94"/>
      <c r="G3" s="94"/>
      <c r="H3" s="94"/>
    </row>
    <row r="4" spans="1:8" ht="19.5" customHeight="1">
      <c r="A4" s="95"/>
      <c r="B4" s="95"/>
      <c r="C4" s="95"/>
      <c r="D4" s="95"/>
      <c r="E4" s="95"/>
      <c r="F4" s="95"/>
      <c r="G4" s="4"/>
      <c r="H4" s="5" t="s">
        <v>1</v>
      </c>
    </row>
    <row r="5" spans="1:12" s="7" customFormat="1" ht="21.75" customHeight="1">
      <c r="A5" s="96" t="s">
        <v>2</v>
      </c>
      <c r="B5" s="97"/>
      <c r="C5" s="102" t="s">
        <v>48</v>
      </c>
      <c r="D5" s="103"/>
      <c r="E5" s="104"/>
      <c r="F5" s="88" t="s">
        <v>58</v>
      </c>
      <c r="G5" s="88" t="s">
        <v>59</v>
      </c>
      <c r="H5" s="6"/>
      <c r="J5" s="50"/>
      <c r="K5" s="59"/>
      <c r="L5" s="59"/>
    </row>
    <row r="6" spans="1:12" s="7" customFormat="1" ht="21.75" customHeight="1">
      <c r="A6" s="98"/>
      <c r="B6" s="99"/>
      <c r="C6" s="8" t="s">
        <v>49</v>
      </c>
      <c r="D6" s="96" t="s">
        <v>56</v>
      </c>
      <c r="E6" s="97"/>
      <c r="F6" s="89"/>
      <c r="G6" s="89"/>
      <c r="H6" s="8" t="s">
        <v>0</v>
      </c>
      <c r="J6" s="50" t="s">
        <v>51</v>
      </c>
      <c r="K6" s="59"/>
      <c r="L6" s="59"/>
    </row>
    <row r="7" spans="1:12" s="7" customFormat="1" ht="21.75" customHeight="1">
      <c r="A7" s="100"/>
      <c r="B7" s="101"/>
      <c r="C7" s="8">
        <v>2565</v>
      </c>
      <c r="D7" s="66" t="s">
        <v>57</v>
      </c>
      <c r="E7" s="67">
        <v>24167</v>
      </c>
      <c r="F7" s="90"/>
      <c r="G7" s="90"/>
      <c r="H7" s="8"/>
      <c r="J7" s="50"/>
      <c r="K7" s="59"/>
      <c r="L7" s="59"/>
    </row>
    <row r="8" spans="1:12" s="10" customFormat="1" ht="21.75" customHeight="1">
      <c r="A8" s="58" t="s">
        <v>55</v>
      </c>
      <c r="B8" s="1"/>
      <c r="C8" s="9"/>
      <c r="D8" s="9"/>
      <c r="E8" s="9"/>
      <c r="F8" s="9"/>
      <c r="G8" s="9"/>
      <c r="H8" s="9"/>
      <c r="J8" s="49"/>
      <c r="K8" s="59"/>
      <c r="L8" s="59"/>
    </row>
    <row r="9" spans="1:8" ht="21.75" customHeight="1">
      <c r="A9" s="71" t="s">
        <v>5</v>
      </c>
      <c r="B9" s="72"/>
      <c r="C9" s="73"/>
      <c r="D9" s="73"/>
      <c r="E9" s="73"/>
      <c r="F9" s="73"/>
      <c r="G9" s="73"/>
      <c r="H9" s="74"/>
    </row>
    <row r="10" spans="1:8" ht="21.75" customHeight="1">
      <c r="A10" s="71" t="s">
        <v>11</v>
      </c>
      <c r="B10" s="72"/>
      <c r="C10" s="73"/>
      <c r="D10" s="73"/>
      <c r="E10" s="73"/>
      <c r="F10" s="73"/>
      <c r="G10" s="73"/>
      <c r="H10" s="74"/>
    </row>
    <row r="11" spans="1:11" ht="21.75" customHeight="1">
      <c r="A11" s="71" t="s">
        <v>12</v>
      </c>
      <c r="B11" s="72"/>
      <c r="C11" s="73">
        <v>56047.16</v>
      </c>
      <c r="D11" s="73">
        <v>2689.02</v>
      </c>
      <c r="E11" s="75">
        <v>738.84</v>
      </c>
      <c r="F11" s="75">
        <v>50000</v>
      </c>
      <c r="G11" s="76"/>
      <c r="H11" s="77"/>
      <c r="J11" s="49">
        <f>854</f>
        <v>854</v>
      </c>
      <c r="K11" s="61">
        <v>854</v>
      </c>
    </row>
    <row r="12" spans="1:11" ht="21.75" customHeight="1">
      <c r="A12" s="71" t="s">
        <v>13</v>
      </c>
      <c r="B12" s="72"/>
      <c r="C12" s="73">
        <v>2359664.25</v>
      </c>
      <c r="D12" s="73">
        <v>5186174.75</v>
      </c>
      <c r="E12" s="75">
        <v>8643</v>
      </c>
      <c r="F12" s="75">
        <v>0</v>
      </c>
      <c r="G12" s="76"/>
      <c r="H12" s="77"/>
      <c r="J12" s="49">
        <f>175854</f>
        <v>175854</v>
      </c>
      <c r="K12" s="61">
        <v>175854</v>
      </c>
    </row>
    <row r="13" spans="1:12" ht="21.75" customHeight="1">
      <c r="A13" s="71" t="s">
        <v>14</v>
      </c>
      <c r="B13" s="72"/>
      <c r="C13" s="73">
        <v>12446796.52</v>
      </c>
      <c r="D13" s="73">
        <v>3547196.77</v>
      </c>
      <c r="E13" s="75">
        <v>4369761.34</v>
      </c>
      <c r="F13" s="75">
        <v>8000000</v>
      </c>
      <c r="G13" s="76"/>
      <c r="H13" s="77"/>
      <c r="J13" s="49">
        <f>19020.6+65750.67+104218.5+384441.44+1072754.3+1836800.15+(99550.8)+81608.2</f>
        <v>3664144.66</v>
      </c>
      <c r="K13" s="61">
        <v>3696125.66</v>
      </c>
      <c r="L13" s="62">
        <f>J13-K13</f>
        <v>-31981</v>
      </c>
    </row>
    <row r="14" spans="1:11" ht="21.75" customHeight="1">
      <c r="A14" s="71" t="s">
        <v>46</v>
      </c>
      <c r="B14" s="72"/>
      <c r="C14" s="73">
        <v>110991341.41</v>
      </c>
      <c r="D14" s="73">
        <v>4752581.52</v>
      </c>
      <c r="E14" s="75">
        <v>593629.24</v>
      </c>
      <c r="F14" s="75">
        <v>30500000</v>
      </c>
      <c r="G14" s="76"/>
      <c r="H14" s="77"/>
      <c r="J14" s="49">
        <f>647019.11-99550.8+5266391.34</f>
        <v>5813859.649999999</v>
      </c>
      <c r="K14" s="61">
        <f>5813859.65</f>
        <v>5813859.65</v>
      </c>
    </row>
    <row r="15" spans="1:12" ht="21.75" customHeight="1" thickBot="1">
      <c r="A15" s="17" t="s">
        <v>15</v>
      </c>
      <c r="B15" s="18"/>
      <c r="C15" s="19">
        <v>3108068.24</v>
      </c>
      <c r="D15" s="19">
        <v>1605511.75</v>
      </c>
      <c r="E15" s="20">
        <v>357293.44</v>
      </c>
      <c r="F15" s="15">
        <v>3500000</v>
      </c>
      <c r="G15" s="51"/>
      <c r="H15" s="16"/>
      <c r="J15" s="64">
        <f>SUM(J11:J14)</f>
        <v>9654712.309999999</v>
      </c>
      <c r="K15" s="65">
        <f>SUM(K11:K14)</f>
        <v>9686693.31</v>
      </c>
      <c r="L15" s="63">
        <f>96200000+90000+9000000+13200000+3500000</f>
        <v>121990000</v>
      </c>
    </row>
    <row r="16" spans="1:12" s="23" customFormat="1" ht="21.75" customHeight="1" thickTop="1">
      <c r="A16" s="54" t="s">
        <v>8</v>
      </c>
      <c r="B16" s="55"/>
      <c r="C16" s="22">
        <f>SUM(C11:C15)</f>
        <v>128961917.58</v>
      </c>
      <c r="D16" s="22">
        <f>SUM(D11:D15)</f>
        <v>15094153.809999999</v>
      </c>
      <c r="E16" s="22">
        <f>SUM(E11:E15)</f>
        <v>5330065.86</v>
      </c>
      <c r="F16" s="22">
        <f>SUM(F11:F15)</f>
        <v>42050000</v>
      </c>
      <c r="G16" s="22">
        <f>SUM(G11:G15)</f>
        <v>0</v>
      </c>
      <c r="H16" s="22"/>
      <c r="J16" s="50"/>
      <c r="K16" s="59"/>
      <c r="L16" s="59"/>
    </row>
    <row r="17" spans="1:12" s="23" customFormat="1" ht="21.75" customHeight="1">
      <c r="A17" s="68" t="s">
        <v>34</v>
      </c>
      <c r="B17" s="69"/>
      <c r="C17" s="70">
        <f>C16</f>
        <v>128961917.58</v>
      </c>
      <c r="D17" s="70">
        <f>D16</f>
        <v>15094153.809999999</v>
      </c>
      <c r="E17" s="70">
        <f>E16</f>
        <v>5330065.86</v>
      </c>
      <c r="F17" s="70">
        <f>F16</f>
        <v>42050000</v>
      </c>
      <c r="G17" s="70">
        <f>G16</f>
        <v>0</v>
      </c>
      <c r="H17" s="70"/>
      <c r="J17" s="50"/>
      <c r="K17" s="59"/>
      <c r="L17" s="59"/>
    </row>
    <row r="18" spans="1:8" ht="21.75" customHeight="1">
      <c r="A18" s="11" t="s">
        <v>4</v>
      </c>
      <c r="B18" s="12"/>
      <c r="C18" s="13"/>
      <c r="D18" s="13"/>
      <c r="E18" s="13"/>
      <c r="F18" s="13"/>
      <c r="G18" s="51"/>
      <c r="H18" s="14"/>
    </row>
    <row r="19" spans="1:8" ht="21.75" customHeight="1">
      <c r="A19" s="71" t="s">
        <v>9</v>
      </c>
      <c r="B19" s="72"/>
      <c r="C19" s="73"/>
      <c r="D19" s="73"/>
      <c r="E19" s="73"/>
      <c r="F19" s="73"/>
      <c r="G19" s="76"/>
      <c r="H19" s="74"/>
    </row>
    <row r="20" spans="1:8" ht="21.75" customHeight="1">
      <c r="A20" s="71" t="s">
        <v>17</v>
      </c>
      <c r="B20" s="72"/>
      <c r="C20" s="73">
        <v>11600492</v>
      </c>
      <c r="D20" s="73">
        <v>4569781</v>
      </c>
      <c r="E20" s="75">
        <v>1414400</v>
      </c>
      <c r="F20" s="75">
        <v>13000000</v>
      </c>
      <c r="G20" s="76"/>
      <c r="H20" s="73"/>
    </row>
    <row r="21" spans="1:8" ht="21.75" customHeight="1">
      <c r="A21" s="71" t="s">
        <v>16</v>
      </c>
      <c r="B21" s="72"/>
      <c r="C21" s="73">
        <v>856000</v>
      </c>
      <c r="D21" s="73">
        <v>345000</v>
      </c>
      <c r="E21" s="75">
        <v>79600</v>
      </c>
      <c r="F21" s="75">
        <v>900000</v>
      </c>
      <c r="G21" s="76"/>
      <c r="H21" s="73"/>
    </row>
    <row r="22" spans="1:8" ht="21.75" customHeight="1">
      <c r="A22" s="71" t="s">
        <v>18</v>
      </c>
      <c r="B22" s="72"/>
      <c r="C22" s="73">
        <v>555781</v>
      </c>
      <c r="D22" s="73">
        <v>205892</v>
      </c>
      <c r="E22" s="75">
        <v>26277</v>
      </c>
      <c r="F22" s="75">
        <v>6705</v>
      </c>
      <c r="G22" s="76"/>
      <c r="H22" s="73"/>
    </row>
    <row r="23" spans="1:8" ht="21.75" customHeight="1">
      <c r="A23" s="71" t="s">
        <v>53</v>
      </c>
      <c r="B23" s="72"/>
      <c r="C23" s="73"/>
      <c r="D23" s="73"/>
      <c r="E23" s="75"/>
      <c r="F23" s="75"/>
      <c r="G23" s="76"/>
      <c r="H23" s="73"/>
    </row>
    <row r="24" spans="1:8" ht="21.75" customHeight="1">
      <c r="A24" s="71" t="s">
        <v>54</v>
      </c>
      <c r="B24" s="72"/>
      <c r="C24" s="73">
        <v>11680</v>
      </c>
      <c r="D24" s="73">
        <v>327410</v>
      </c>
      <c r="E24" s="75">
        <v>172400</v>
      </c>
      <c r="F24" s="75">
        <v>1500000</v>
      </c>
      <c r="G24" s="76"/>
      <c r="H24" s="73"/>
    </row>
    <row r="25" spans="1:8" ht="21.75" customHeight="1">
      <c r="A25" s="71" t="s">
        <v>19</v>
      </c>
      <c r="B25" s="72"/>
      <c r="C25" s="73"/>
      <c r="D25" s="73"/>
      <c r="E25" s="75"/>
      <c r="F25" s="75"/>
      <c r="G25" s="76"/>
      <c r="H25" s="73"/>
    </row>
    <row r="26" spans="1:8" ht="21.75" customHeight="1">
      <c r="A26" s="71" t="s">
        <v>20</v>
      </c>
      <c r="B26" s="72"/>
      <c r="C26" s="73">
        <v>26554</v>
      </c>
      <c r="D26" s="73">
        <v>9910</v>
      </c>
      <c r="E26" s="75">
        <v>2760</v>
      </c>
      <c r="F26" s="75">
        <v>26780</v>
      </c>
      <c r="G26" s="76"/>
      <c r="H26" s="73"/>
    </row>
    <row r="27" spans="1:8" ht="21.75" customHeight="1">
      <c r="A27" s="71" t="s">
        <v>21</v>
      </c>
      <c r="B27" s="72"/>
      <c r="C27" s="73">
        <v>67600</v>
      </c>
      <c r="D27" s="73">
        <v>16050</v>
      </c>
      <c r="E27" s="75">
        <v>5450</v>
      </c>
      <c r="F27" s="75">
        <v>80000</v>
      </c>
      <c r="G27" s="76"/>
      <c r="H27" s="73"/>
    </row>
    <row r="28" spans="1:8" ht="21.75" customHeight="1">
      <c r="A28" s="17" t="s">
        <v>52</v>
      </c>
      <c r="B28" s="18"/>
      <c r="C28" s="19"/>
      <c r="D28" s="19"/>
      <c r="E28" s="20"/>
      <c r="F28" s="20"/>
      <c r="G28" s="52"/>
      <c r="H28" s="19"/>
    </row>
    <row r="29" spans="10:12" ht="21.75" customHeight="1">
      <c r="J29" s="3"/>
      <c r="K29" s="3"/>
      <c r="L29" s="3"/>
    </row>
    <row r="30" spans="1:8" ht="21.75" customHeight="1">
      <c r="A30" s="24" t="s">
        <v>10</v>
      </c>
      <c r="B30" s="25"/>
      <c r="C30" s="26"/>
      <c r="D30" s="26"/>
      <c r="E30" s="27"/>
      <c r="F30" s="27"/>
      <c r="G30" s="80"/>
      <c r="H30" s="26"/>
    </row>
    <row r="31" spans="1:8" ht="21.75" customHeight="1">
      <c r="A31" s="71" t="s">
        <v>22</v>
      </c>
      <c r="B31" s="72"/>
      <c r="C31" s="73"/>
      <c r="D31" s="73">
        <v>855973.2</v>
      </c>
      <c r="E31" s="75">
        <v>148710</v>
      </c>
      <c r="F31" s="75">
        <v>1954613</v>
      </c>
      <c r="G31" s="76"/>
      <c r="H31" s="73"/>
    </row>
    <row r="32" spans="1:8" ht="21.75" customHeight="1">
      <c r="A32" s="71" t="s">
        <v>45</v>
      </c>
      <c r="B32" s="72"/>
      <c r="C32" s="73"/>
      <c r="D32" s="73">
        <v>130980</v>
      </c>
      <c r="E32" s="75">
        <v>36820</v>
      </c>
      <c r="F32" s="75">
        <v>509275</v>
      </c>
      <c r="G32" s="76"/>
      <c r="H32" s="73"/>
    </row>
    <row r="33" spans="1:8" ht="21.75" customHeight="1">
      <c r="A33" s="71" t="s">
        <v>23</v>
      </c>
      <c r="B33" s="71"/>
      <c r="C33" s="73">
        <v>16725</v>
      </c>
      <c r="D33" s="73">
        <v>3480</v>
      </c>
      <c r="E33" s="75">
        <v>545</v>
      </c>
      <c r="F33" s="75">
        <v>18225</v>
      </c>
      <c r="G33" s="76"/>
      <c r="H33" s="73"/>
    </row>
    <row r="34" spans="1:8" ht="21.75" customHeight="1">
      <c r="A34" s="71" t="s">
        <v>24</v>
      </c>
      <c r="B34" s="71"/>
      <c r="C34" s="73"/>
      <c r="D34" s="73">
        <v>55000</v>
      </c>
      <c r="E34" s="75"/>
      <c r="F34" s="75">
        <v>123000</v>
      </c>
      <c r="G34" s="76"/>
      <c r="H34" s="73"/>
    </row>
    <row r="35" spans="1:8" ht="21.75" customHeight="1">
      <c r="A35" s="71" t="s">
        <v>25</v>
      </c>
      <c r="B35" s="71"/>
      <c r="C35" s="73">
        <v>25700</v>
      </c>
      <c r="D35" s="73">
        <v>1500</v>
      </c>
      <c r="E35" s="75"/>
      <c r="F35" s="75">
        <v>3000</v>
      </c>
      <c r="G35" s="76"/>
      <c r="H35" s="73"/>
    </row>
    <row r="36" spans="1:8" ht="21.75" customHeight="1">
      <c r="A36" s="71" t="s">
        <v>44</v>
      </c>
      <c r="B36" s="71"/>
      <c r="C36" s="73"/>
      <c r="D36" s="73">
        <v>50170</v>
      </c>
      <c r="E36" s="75">
        <v>19340</v>
      </c>
      <c r="F36" s="75"/>
      <c r="G36" s="76"/>
      <c r="H36" s="73"/>
    </row>
    <row r="37" spans="1:8" ht="21.75" customHeight="1">
      <c r="A37" s="71" t="s">
        <v>63</v>
      </c>
      <c r="B37" s="81"/>
      <c r="C37" s="73"/>
      <c r="D37" s="73">
        <v>50</v>
      </c>
      <c r="E37" s="75"/>
      <c r="F37" s="75"/>
      <c r="G37" s="76"/>
      <c r="H37" s="73"/>
    </row>
    <row r="38" spans="1:8" ht="21.75" customHeight="1">
      <c r="A38" s="71" t="s">
        <v>32</v>
      </c>
      <c r="B38" s="72"/>
      <c r="C38" s="73"/>
      <c r="D38" s="73"/>
      <c r="E38" s="75"/>
      <c r="F38" s="75"/>
      <c r="G38" s="76"/>
      <c r="H38" s="73"/>
    </row>
    <row r="39" spans="1:8" ht="21.75" customHeight="1">
      <c r="A39" s="71" t="s">
        <v>26</v>
      </c>
      <c r="B39" s="72"/>
      <c r="C39" s="73">
        <v>157280</v>
      </c>
      <c r="D39" s="73">
        <v>73212</v>
      </c>
      <c r="E39" s="75">
        <v>21302</v>
      </c>
      <c r="F39" s="75">
        <v>311972</v>
      </c>
      <c r="G39" s="76"/>
      <c r="H39" s="73"/>
    </row>
    <row r="40" spans="1:8" ht="21.75" customHeight="1">
      <c r="A40" s="71" t="s">
        <v>50</v>
      </c>
      <c r="B40" s="72"/>
      <c r="C40" s="73"/>
      <c r="D40" s="73">
        <v>45000</v>
      </c>
      <c r="E40" s="75"/>
      <c r="F40" s="75"/>
      <c r="G40" s="76"/>
      <c r="H40" s="73"/>
    </row>
    <row r="41" spans="1:8" ht="21.75" customHeight="1">
      <c r="A41" s="71" t="s">
        <v>33</v>
      </c>
      <c r="B41" s="72"/>
      <c r="C41" s="73"/>
      <c r="D41" s="73"/>
      <c r="E41" s="75"/>
      <c r="F41" s="75"/>
      <c r="G41" s="76"/>
      <c r="H41" s="73"/>
    </row>
    <row r="42" spans="1:8" ht="21.75" customHeight="1">
      <c r="A42" s="78" t="s">
        <v>27</v>
      </c>
      <c r="B42" s="78"/>
      <c r="C42" s="73">
        <v>2535</v>
      </c>
      <c r="D42" s="73">
        <v>50150</v>
      </c>
      <c r="E42" s="75">
        <v>34435</v>
      </c>
      <c r="F42" s="75"/>
      <c r="G42" s="76"/>
      <c r="H42" s="73"/>
    </row>
    <row r="43" spans="1:8" ht="21.75" customHeight="1">
      <c r="A43" s="79" t="s">
        <v>28</v>
      </c>
      <c r="B43" s="79"/>
      <c r="C43" s="73"/>
      <c r="D43" s="73"/>
      <c r="E43" s="75"/>
      <c r="F43" s="75"/>
      <c r="G43" s="76"/>
      <c r="H43" s="73"/>
    </row>
    <row r="44" spans="1:8" ht="21.75" customHeight="1">
      <c r="A44" s="78" t="s">
        <v>29</v>
      </c>
      <c r="B44" s="78"/>
      <c r="C44" s="73">
        <v>106180</v>
      </c>
      <c r="D44" s="73">
        <v>63980</v>
      </c>
      <c r="E44" s="75">
        <v>11490</v>
      </c>
      <c r="F44" s="75"/>
      <c r="G44" s="76"/>
      <c r="H44" s="73"/>
    </row>
    <row r="45" spans="1:8" ht="21.75" customHeight="1">
      <c r="A45" s="78" t="s">
        <v>30</v>
      </c>
      <c r="B45" s="78"/>
      <c r="C45" s="73">
        <v>2900</v>
      </c>
      <c r="D45" s="73">
        <v>12800</v>
      </c>
      <c r="E45" s="75">
        <v>19200</v>
      </c>
      <c r="F45" s="75"/>
      <c r="G45" s="76"/>
      <c r="H45" s="75"/>
    </row>
    <row r="46" spans="1:8" ht="21.75" customHeight="1">
      <c r="A46" s="78" t="s">
        <v>47</v>
      </c>
      <c r="B46" s="71"/>
      <c r="C46" s="73">
        <v>19000</v>
      </c>
      <c r="D46" s="73"/>
      <c r="E46" s="75"/>
      <c r="F46" s="75"/>
      <c r="G46" s="76"/>
      <c r="H46" s="75"/>
    </row>
    <row r="47" spans="1:8" ht="21.75" customHeight="1">
      <c r="A47" s="11" t="s">
        <v>31</v>
      </c>
      <c r="B47" s="11"/>
      <c r="C47" s="13"/>
      <c r="D47" s="13">
        <v>59100</v>
      </c>
      <c r="E47" s="15">
        <v>42800</v>
      </c>
      <c r="F47" s="15"/>
      <c r="G47" s="51"/>
      <c r="H47" s="13"/>
    </row>
    <row r="48" spans="1:12" s="23" customFormat="1" ht="21.75" customHeight="1">
      <c r="A48" s="21" t="s">
        <v>35</v>
      </c>
      <c r="B48" s="21"/>
      <c r="C48" s="28">
        <f>SUM(C20:C47)</f>
        <v>13448427</v>
      </c>
      <c r="D48" s="28">
        <f>SUM(D20:D47)</f>
        <v>6875438.2</v>
      </c>
      <c r="E48" s="28">
        <f>SUM(E20:E47)</f>
        <v>2035529</v>
      </c>
      <c r="F48" s="28">
        <f>SUM(F20:F47)</f>
        <v>18433570</v>
      </c>
      <c r="G48" s="28">
        <f>SUM(G20:G47)</f>
        <v>0</v>
      </c>
      <c r="H48" s="28"/>
      <c r="J48" s="50"/>
      <c r="K48" s="59"/>
      <c r="L48" s="59"/>
    </row>
    <row r="49" spans="1:8" ht="21.75" customHeight="1">
      <c r="A49" s="11" t="s">
        <v>6</v>
      </c>
      <c r="B49" s="11"/>
      <c r="C49" s="29"/>
      <c r="D49" s="29"/>
      <c r="E49" s="30"/>
      <c r="F49" s="30"/>
      <c r="G49" s="51"/>
      <c r="H49" s="31"/>
    </row>
    <row r="50" spans="1:8" ht="21.75" customHeight="1">
      <c r="A50" s="71" t="s">
        <v>36</v>
      </c>
      <c r="B50" s="71"/>
      <c r="C50" s="73">
        <v>255920</v>
      </c>
      <c r="D50" s="73">
        <v>107870</v>
      </c>
      <c r="E50" s="75">
        <v>22054</v>
      </c>
      <c r="F50" s="75"/>
      <c r="G50" s="76"/>
      <c r="H50" s="73"/>
    </row>
    <row r="51" spans="1:8" ht="21.75" customHeight="1">
      <c r="A51" s="11" t="s">
        <v>37</v>
      </c>
      <c r="B51" s="11"/>
      <c r="C51" s="13">
        <v>503599.43</v>
      </c>
      <c r="D51" s="13"/>
      <c r="E51" s="15"/>
      <c r="F51" s="15"/>
      <c r="G51" s="51"/>
      <c r="H51" s="13"/>
    </row>
    <row r="52" spans="1:8" ht="21.75" customHeight="1">
      <c r="A52" s="21" t="s">
        <v>38</v>
      </c>
      <c r="B52" s="21"/>
      <c r="C52" s="22">
        <f>SUM(C50:C51)</f>
        <v>759519.4299999999</v>
      </c>
      <c r="D52" s="22">
        <f>SUM(D50:D51)</f>
        <v>107870</v>
      </c>
      <c r="E52" s="22">
        <f>SUM(E50:E51)</f>
        <v>22054</v>
      </c>
      <c r="F52" s="22">
        <f>SUM(F50:F51)</f>
        <v>0</v>
      </c>
      <c r="G52" s="22">
        <f>SUM(G50:G51)</f>
        <v>0</v>
      </c>
      <c r="H52" s="22"/>
    </row>
    <row r="53" spans="1:8" ht="21.75" customHeight="1">
      <c r="A53" s="11" t="s">
        <v>7</v>
      </c>
      <c r="B53" s="11"/>
      <c r="C53" s="13"/>
      <c r="D53" s="13"/>
      <c r="E53" s="13"/>
      <c r="F53" s="13"/>
      <c r="G53" s="51"/>
      <c r="H53" s="32"/>
    </row>
    <row r="54" spans="1:8" ht="21.75" customHeight="1">
      <c r="A54" s="71" t="s">
        <v>39</v>
      </c>
      <c r="B54" s="71"/>
      <c r="C54" s="73">
        <v>279991.97</v>
      </c>
      <c r="D54" s="73">
        <v>170885.7</v>
      </c>
      <c r="E54" s="75"/>
      <c r="F54" s="75"/>
      <c r="G54" s="76"/>
      <c r="H54" s="75"/>
    </row>
    <row r="55" spans="1:8" ht="21.75" customHeight="1">
      <c r="A55" s="11" t="s">
        <v>40</v>
      </c>
      <c r="B55" s="11"/>
      <c r="C55" s="13">
        <f>182200+493053.63</f>
        <v>675253.63</v>
      </c>
      <c r="D55" s="13">
        <v>155159.73</v>
      </c>
      <c r="E55" s="15">
        <v>22090</v>
      </c>
      <c r="F55" s="15"/>
      <c r="G55" s="51"/>
      <c r="H55" s="15"/>
    </row>
    <row r="56" spans="1:8" ht="21.75" customHeight="1">
      <c r="A56" s="11" t="s">
        <v>64</v>
      </c>
      <c r="B56" s="11"/>
      <c r="C56" s="13"/>
      <c r="D56" s="13"/>
      <c r="E56" s="15">
        <v>235000</v>
      </c>
      <c r="F56" s="15"/>
      <c r="G56" s="51"/>
      <c r="H56" s="15"/>
    </row>
    <row r="57" spans="1:12" s="23" customFormat="1" ht="21.75" customHeight="1" thickBot="1">
      <c r="A57" s="33" t="s">
        <v>41</v>
      </c>
      <c r="B57" s="34"/>
      <c r="C57" s="35">
        <f>SUM(C54:C55)</f>
        <v>955245.6</v>
      </c>
      <c r="D57" s="35">
        <f>SUM(D54:D55)</f>
        <v>326045.43000000005</v>
      </c>
      <c r="E57" s="35">
        <f>SUM(E54:E56)</f>
        <v>257090</v>
      </c>
      <c r="F57" s="35"/>
      <c r="G57" s="53"/>
      <c r="H57" s="35"/>
      <c r="J57" s="50"/>
      <c r="K57" s="59"/>
      <c r="L57" s="59"/>
    </row>
    <row r="58" spans="1:12" s="23" customFormat="1" ht="24" customHeight="1" thickBot="1" thickTop="1">
      <c r="A58" s="36" t="s">
        <v>42</v>
      </c>
      <c r="B58" s="37"/>
      <c r="C58" s="38">
        <f>C57+C52+C48</f>
        <v>15163192.03</v>
      </c>
      <c r="D58" s="38">
        <f>D57+D52+D48</f>
        <v>7309353.63</v>
      </c>
      <c r="E58" s="38">
        <f>E57+E52+E48</f>
        <v>2314673</v>
      </c>
      <c r="F58" s="38">
        <f>F57+F52+F48</f>
        <v>18433570</v>
      </c>
      <c r="G58" s="38">
        <f>G57+G52+G48</f>
        <v>0</v>
      </c>
      <c r="H58" s="38"/>
      <c r="J58" s="50"/>
      <c r="K58" s="59"/>
      <c r="L58" s="59"/>
    </row>
    <row r="59" spans="1:12" s="42" customFormat="1" ht="24.75" customHeight="1" thickBot="1" thickTop="1">
      <c r="A59" s="39" t="s">
        <v>43</v>
      </c>
      <c r="B59" s="40"/>
      <c r="C59" s="41">
        <f>C58+C17</f>
        <v>144125109.60999998</v>
      </c>
      <c r="D59" s="41">
        <f>D58+D17</f>
        <v>22403507.439999998</v>
      </c>
      <c r="E59" s="41">
        <f>E58+E17</f>
        <v>7644738.86</v>
      </c>
      <c r="F59" s="41">
        <f>F58+F17</f>
        <v>60483570</v>
      </c>
      <c r="G59" s="41">
        <f>G58+G17</f>
        <v>0</v>
      </c>
      <c r="H59" s="41"/>
      <c r="J59" s="50"/>
      <c r="K59" s="59"/>
      <c r="L59" s="59"/>
    </row>
    <row r="60" spans="1:12" s="47" customFormat="1" ht="15" customHeight="1" thickTop="1">
      <c r="A60" s="43"/>
      <c r="B60" s="44"/>
      <c r="C60" s="45"/>
      <c r="D60" s="45"/>
      <c r="E60" s="46"/>
      <c r="F60" s="46"/>
      <c r="G60" s="46"/>
      <c r="H60" s="46"/>
      <c r="J60" s="50"/>
      <c r="K60" s="60"/>
      <c r="L60" s="60"/>
    </row>
    <row r="61" ht="24">
      <c r="E61" s="56"/>
    </row>
    <row r="62" spans="5:8" ht="24.75" customHeight="1">
      <c r="E62" s="2"/>
      <c r="G62" s="93" t="s">
        <v>60</v>
      </c>
      <c r="H62" s="93"/>
    </row>
    <row r="63" spans="7:8" ht="24">
      <c r="G63" s="93" t="s">
        <v>61</v>
      </c>
      <c r="H63" s="93"/>
    </row>
    <row r="64" ht="24.75" customHeight="1">
      <c r="E64" s="48"/>
    </row>
    <row r="66" ht="24">
      <c r="E66" s="57"/>
    </row>
  </sheetData>
  <sheetProtection/>
  <mergeCells count="10">
    <mergeCell ref="G62:H62"/>
    <mergeCell ref="G63:H63"/>
    <mergeCell ref="A2:H2"/>
    <mergeCell ref="A3:H3"/>
    <mergeCell ref="A4:F4"/>
    <mergeCell ref="A5:B7"/>
    <mergeCell ref="C5:E5"/>
    <mergeCell ref="F5:F7"/>
    <mergeCell ref="G5:G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KSW</cp:lastModifiedBy>
  <cp:lastPrinted>2023-05-17T07:12:08Z</cp:lastPrinted>
  <dcterms:created xsi:type="dcterms:W3CDTF">2009-02-10T04:16:10Z</dcterms:created>
  <dcterms:modified xsi:type="dcterms:W3CDTF">2023-05-17T07:12:36Z</dcterms:modified>
  <cp:category/>
  <cp:version/>
  <cp:contentType/>
  <cp:contentStatus/>
</cp:coreProperties>
</file>