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SW\Downloads\"/>
    </mc:Choice>
  </mc:AlternateContent>
  <xr:revisionPtr revIDLastSave="0" documentId="13_ncr:1_{9F46D839-F1A8-4160-90CB-8CF7F08153A1}" xr6:coauthVersionLast="47" xr6:coauthVersionMax="47" xr10:uidLastSave="{00000000-0000-0000-0000-000000000000}"/>
  <bookViews>
    <workbookView xWindow="-120" yWindow="-120" windowWidth="24240" windowHeight="13020" activeTab="1" xr2:uid="{3045FF57-CDBA-44E8-BF3C-2F75CFD6A38D}"/>
  </bookViews>
  <sheets>
    <sheet name="รายงานผล" sheetId="26" r:id="rId1"/>
    <sheet name="ง.401(มี.ค.67)" sheetId="24" r:id="rId2"/>
    <sheet name="ง.401 (มี.ค.67งบกลาง)" sheetId="25" r:id="rId3"/>
    <sheet name="ตัวชี้วัด (30 ก.ย.65)หัก อุทธรณ" sheetId="16" state="hidden" r:id="rId4"/>
    <sheet name="ตัวชี้วัด (30 ก.ย.65)หักเหลือจ่" sheetId="17" state="hidden" r:id="rId5"/>
    <sheet name="ตัวชี้วัด (30 ก.ย.65)ง.401" sheetId="14" state="hidden" r:id="rId6"/>
    <sheet name="ตัวชี้วัด (30 ก.ย.65) (2)" sheetId="13" state="hidden" r:id="rId7"/>
    <sheet name="ตัวชี้วัด (30 ก.ย.65)" sheetId="12" state="hidden" r:id="rId8"/>
    <sheet name="ตัวชี้วัด (26ก.ย.65)" sheetId="11" state="hidden" r:id="rId9"/>
    <sheet name="ตัวชี้วัด (20ก.ย.65)" sheetId="9" state="hidden" r:id="rId10"/>
    <sheet name="รายการที่จะเบิก" sheetId="10" state="hidden" r:id="rId11"/>
    <sheet name="ตัวชี้วัด (18-7-65) (2)" sheetId="8" state="hidden" r:id="rId12"/>
    <sheet name="ตัวชี้วัด" sheetId="1" state="hidden" r:id="rId13"/>
    <sheet name="ตัวชี้วัด (2)" sheetId="2" state="hidden" r:id="rId14"/>
    <sheet name="ตัวชี้วัด (3)" sheetId="3" state="hidden" r:id="rId15"/>
    <sheet name="ตัวชี้วัด (ล่าสุด)" sheetId="4" state="hidden" r:id="rId16"/>
    <sheet name="ตัวชี้วัด (4-4-65)" sheetId="5" state="hidden" r:id="rId17"/>
    <sheet name="ตัวชี้วัด (4-4-65) (2)" sheetId="6" state="hidden" r:id="rId18"/>
    <sheet name="ตัวชี้วัด (18-7-65)" sheetId="7" state="hidden" r:id="rId19"/>
  </sheets>
  <externalReferences>
    <externalReference r:id="rId20"/>
    <externalReference r:id="rId21"/>
  </externalReferences>
  <definedNames>
    <definedName name="_xlnm.Print_Area" localSheetId="2">'ง.401 (มี.ค.67งบกลาง)'!$A$1:$M$22</definedName>
    <definedName name="_xlnm.Print_Area" localSheetId="1">'ง.401(มี.ค.67)'!$A$1:$M$40</definedName>
    <definedName name="_xlnm.Print_Area" localSheetId="12">ตัวชี้วัด!$A$1:$H$22</definedName>
    <definedName name="_xlnm.Print_Area" localSheetId="18">'ตัวชี้วัด (18-7-65)'!$A$1:$H$22</definedName>
    <definedName name="_xlnm.Print_Area" localSheetId="11">'ตัวชี้วัด (18-7-65) (2)'!$A$1:$H$22</definedName>
    <definedName name="_xlnm.Print_Area" localSheetId="13">'ตัวชี้วัด (2)'!$A$1:$H$27</definedName>
    <definedName name="_xlnm.Print_Area" localSheetId="9">'ตัวชี้วัด (20ก.ย.65)'!$A$1:$J$23</definedName>
    <definedName name="_xlnm.Print_Area" localSheetId="8">'ตัวชี้วัด (26ก.ย.65)'!$A$1:$J$23</definedName>
    <definedName name="_xlnm.Print_Area" localSheetId="14">'ตัวชี้วัด (3)'!$A$1:$H$27</definedName>
    <definedName name="_xlnm.Print_Area" localSheetId="7">'ตัวชี้วัด (30 ก.ย.65)'!$A$1:$J$24</definedName>
    <definedName name="_xlnm.Print_Area" localSheetId="6">'ตัวชี้วัด (30 ก.ย.65) (2)'!$A$1:$J$13</definedName>
    <definedName name="_xlnm.Print_Area" localSheetId="5">'ตัวชี้วัด (30 ก.ย.65)ง.401'!$A$1:$J$24</definedName>
    <definedName name="_xlnm.Print_Area" localSheetId="3">'ตัวชี้วัด (30 ก.ย.65)หัก อุทธรณ'!$A$1:$J$24</definedName>
    <definedName name="_xlnm.Print_Area" localSheetId="4">'ตัวชี้วัด (30 ก.ย.65)หักเหลือจ่'!$A$1:$G$15</definedName>
    <definedName name="_xlnm.Print_Area" localSheetId="16">'ตัวชี้วัด (4-4-65)'!$A$1:$G$22</definedName>
    <definedName name="_xlnm.Print_Area" localSheetId="17">'ตัวชี้วัด (4-4-65) (2)'!$A$1:$H$22</definedName>
    <definedName name="_xlnm.Print_Area" localSheetId="15">'ตัวชี้วัด (ล่าสุด)'!$A$1:$G$26</definedName>
    <definedName name="_xlnm.Print_Area" localSheetId="10">รายการที่จะเบิก!#REF!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4" i="25" l="1"/>
  <c r="K14" i="25" s="1"/>
  <c r="M14" i="25" s="1"/>
  <c r="H12" i="25"/>
  <c r="H10" i="25"/>
  <c r="H8" i="25"/>
  <c r="G12" i="25"/>
  <c r="E12" i="25"/>
  <c r="E8" i="25"/>
  <c r="H15" i="25" l="1"/>
  <c r="J13" i="25"/>
  <c r="J12" i="25" s="1"/>
  <c r="L12" i="25"/>
  <c r="I12" i="25"/>
  <c r="F12" i="25"/>
  <c r="J11" i="25"/>
  <c r="J10" i="25" s="1"/>
  <c r="G11" i="25"/>
  <c r="L10" i="25"/>
  <c r="I10" i="25"/>
  <c r="F10" i="25"/>
  <c r="E10" i="25"/>
  <c r="J9" i="25"/>
  <c r="G9" i="25"/>
  <c r="L8" i="25"/>
  <c r="I8" i="25"/>
  <c r="F8" i="25"/>
  <c r="L28" i="24"/>
  <c r="K28" i="24"/>
  <c r="J28" i="24"/>
  <c r="I28" i="24"/>
  <c r="H28" i="24"/>
  <c r="G28" i="24"/>
  <c r="F28" i="24"/>
  <c r="E28" i="24"/>
  <c r="M27" i="24"/>
  <c r="M26" i="24"/>
  <c r="M25" i="24"/>
  <c r="L24" i="24"/>
  <c r="L30" i="24" s="1"/>
  <c r="L31" i="24" s="1"/>
  <c r="K24" i="24"/>
  <c r="K29" i="24" s="1"/>
  <c r="J24" i="24"/>
  <c r="I24" i="24"/>
  <c r="I30" i="24" s="1"/>
  <c r="I31" i="24" s="1"/>
  <c r="H24" i="24"/>
  <c r="G24" i="24"/>
  <c r="G29" i="24" s="1"/>
  <c r="F24" i="24"/>
  <c r="E24" i="24"/>
  <c r="M22" i="24"/>
  <c r="M21" i="24"/>
  <c r="M20" i="24"/>
  <c r="M18" i="24"/>
  <c r="M15" i="24"/>
  <c r="M14" i="24"/>
  <c r="M13" i="24"/>
  <c r="M12" i="24"/>
  <c r="M11" i="24"/>
  <c r="M10" i="24"/>
  <c r="M9" i="24"/>
  <c r="M8" i="24"/>
  <c r="F30" i="24" l="1"/>
  <c r="F31" i="24" s="1"/>
  <c r="L15" i="25"/>
  <c r="K11" i="25"/>
  <c r="M11" i="25" s="1"/>
  <c r="K13" i="25"/>
  <c r="M13" i="25" s="1"/>
  <c r="F15" i="25"/>
  <c r="I15" i="25"/>
  <c r="G8" i="25"/>
  <c r="J8" i="25"/>
  <c r="J15" i="25" s="1"/>
  <c r="J30" i="24"/>
  <c r="J31" i="24" s="1"/>
  <c r="H30" i="24"/>
  <c r="H31" i="24" s="1"/>
  <c r="K30" i="24"/>
  <c r="K31" i="24" s="1"/>
  <c r="H29" i="24"/>
  <c r="G30" i="24"/>
  <c r="G31" i="24" s="1"/>
  <c r="E15" i="25"/>
  <c r="K9" i="25"/>
  <c r="M9" i="25" s="1"/>
  <c r="M28" i="24"/>
  <c r="E30" i="24"/>
  <c r="L29" i="24"/>
  <c r="G10" i="25"/>
  <c r="K10" i="25" s="1"/>
  <c r="M10" i="25" s="1"/>
  <c r="K12" i="25"/>
  <c r="M12" i="25" s="1"/>
  <c r="M24" i="24"/>
  <c r="M29" i="24" s="1"/>
  <c r="E29" i="24"/>
  <c r="I29" i="24"/>
  <c r="F29" i="24"/>
  <c r="J29" i="24"/>
  <c r="F13" i="17"/>
  <c r="F8" i="17"/>
  <c r="F7" i="17"/>
  <c r="D8" i="17"/>
  <c r="D11" i="17"/>
  <c r="F11" i="17" s="1"/>
  <c r="D10" i="17"/>
  <c r="F10" i="17" s="1"/>
  <c r="D9" i="17"/>
  <c r="D7" i="17"/>
  <c r="C10" i="17"/>
  <c r="C9" i="17"/>
  <c r="F9" i="17" s="1"/>
  <c r="C8" i="17"/>
  <c r="C7" i="17"/>
  <c r="L28" i="14"/>
  <c r="L27" i="14"/>
  <c r="G34" i="14"/>
  <c r="G35" i="16"/>
  <c r="J26" i="16"/>
  <c r="J25" i="16"/>
  <c r="G32" i="16"/>
  <c r="D9" i="16"/>
  <c r="F9" i="16" s="1"/>
  <c r="H9" i="16" s="1"/>
  <c r="G37" i="16"/>
  <c r="G33" i="16"/>
  <c r="G30" i="16"/>
  <c r="G31" i="16" s="1"/>
  <c r="G28" i="16"/>
  <c r="L20" i="16"/>
  <c r="L23" i="16" s="1"/>
  <c r="T18" i="16"/>
  <c r="L17" i="16"/>
  <c r="L14" i="16"/>
  <c r="T12" i="16"/>
  <c r="S11" i="16"/>
  <c r="S12" i="16" s="1"/>
  <c r="N8" i="16" s="1"/>
  <c r="G29" i="16" s="1"/>
  <c r="Q11" i="16"/>
  <c r="N11" i="16"/>
  <c r="G11" i="16"/>
  <c r="C11" i="16"/>
  <c r="E11" i="16" s="1"/>
  <c r="N9" i="16"/>
  <c r="G9" i="16"/>
  <c r="E9" i="16"/>
  <c r="M8" i="16"/>
  <c r="G8" i="16"/>
  <c r="C8" i="16"/>
  <c r="E8" i="16" s="1"/>
  <c r="M7" i="16"/>
  <c r="G7" i="16"/>
  <c r="C7" i="16"/>
  <c r="E7" i="16" s="1"/>
  <c r="N6" i="16"/>
  <c r="N10" i="16" s="1"/>
  <c r="N12" i="16" s="1"/>
  <c r="M6" i="16"/>
  <c r="L6" i="16"/>
  <c r="G6" i="16"/>
  <c r="G10" i="16" s="1"/>
  <c r="C6" i="16"/>
  <c r="M4" i="16"/>
  <c r="M3" i="16"/>
  <c r="C11" i="14"/>
  <c r="G6" i="14"/>
  <c r="I12" i="14"/>
  <c r="I11" i="14"/>
  <c r="I10" i="14"/>
  <c r="I9" i="14"/>
  <c r="I8" i="14"/>
  <c r="I7" i="14"/>
  <c r="I6" i="14"/>
  <c r="F11" i="14"/>
  <c r="D11" i="14"/>
  <c r="C6" i="14"/>
  <c r="D8" i="14"/>
  <c r="D9" i="14"/>
  <c r="F9" i="14" s="1"/>
  <c r="D6" i="14"/>
  <c r="G36" i="14"/>
  <c r="G32" i="14"/>
  <c r="G30" i="14"/>
  <c r="G31" i="14" s="1"/>
  <c r="G28" i="14"/>
  <c r="G27" i="14"/>
  <c r="L20" i="14"/>
  <c r="L23" i="14" s="1"/>
  <c r="T18" i="14"/>
  <c r="L17" i="14"/>
  <c r="L14" i="14"/>
  <c r="T12" i="14"/>
  <c r="S11" i="14"/>
  <c r="S12" i="14" s="1"/>
  <c r="N8" i="14" s="1"/>
  <c r="G29" i="14" s="1"/>
  <c r="Q11" i="14"/>
  <c r="N11" i="14"/>
  <c r="G11" i="14"/>
  <c r="E11" i="14"/>
  <c r="N9" i="14"/>
  <c r="G9" i="14"/>
  <c r="E9" i="14"/>
  <c r="M8" i="14"/>
  <c r="G8" i="14"/>
  <c r="E8" i="14"/>
  <c r="C8" i="14"/>
  <c r="M7" i="14"/>
  <c r="G7" i="14"/>
  <c r="E7" i="14"/>
  <c r="D7" i="14"/>
  <c r="F7" i="14" s="1"/>
  <c r="C7" i="14"/>
  <c r="N6" i="14"/>
  <c r="M6" i="14"/>
  <c r="L6" i="14"/>
  <c r="G10" i="14"/>
  <c r="C10" i="14"/>
  <c r="M4" i="14"/>
  <c r="M3" i="14"/>
  <c r="G11" i="13"/>
  <c r="G9" i="13"/>
  <c r="H9" i="13" s="1"/>
  <c r="T12" i="13"/>
  <c r="S11" i="13"/>
  <c r="Q11" i="13"/>
  <c r="N11" i="13"/>
  <c r="N9" i="13"/>
  <c r="M8" i="13"/>
  <c r="M7" i="13"/>
  <c r="N6" i="13"/>
  <c r="M6" i="13"/>
  <c r="L6" i="13"/>
  <c r="M3" i="13"/>
  <c r="M4" i="13" s="1"/>
  <c r="I6" i="12"/>
  <c r="D6" i="12"/>
  <c r="D8" i="12"/>
  <c r="D9" i="12"/>
  <c r="D11" i="12"/>
  <c r="F9" i="12"/>
  <c r="I9" i="12" s="1"/>
  <c r="D7" i="12"/>
  <c r="L21" i="12"/>
  <c r="G8" i="12"/>
  <c r="I11" i="12"/>
  <c r="M31" i="12"/>
  <c r="M30" i="12"/>
  <c r="L31" i="12"/>
  <c r="L30" i="12"/>
  <c r="F11" i="12"/>
  <c r="F8" i="12"/>
  <c r="F7" i="12"/>
  <c r="I7" i="12" s="1"/>
  <c r="F6" i="12"/>
  <c r="L26" i="12"/>
  <c r="L25" i="12"/>
  <c r="E12" i="12"/>
  <c r="E10" i="12"/>
  <c r="C10" i="12"/>
  <c r="G36" i="12"/>
  <c r="G9" i="12"/>
  <c r="L14" i="12"/>
  <c r="C7" i="12"/>
  <c r="E7" i="12" s="1"/>
  <c r="N11" i="12"/>
  <c r="N9" i="12"/>
  <c r="S11" i="12"/>
  <c r="Q11" i="12"/>
  <c r="G11" i="12"/>
  <c r="G7" i="12"/>
  <c r="G6" i="12"/>
  <c r="T12" i="12"/>
  <c r="C6" i="12"/>
  <c r="G34" i="12"/>
  <c r="G32" i="12"/>
  <c r="G30" i="12"/>
  <c r="G28" i="12"/>
  <c r="L20" i="12"/>
  <c r="T18" i="12"/>
  <c r="L17" i="12"/>
  <c r="C11" i="12"/>
  <c r="E11" i="12" s="1"/>
  <c r="E9" i="12"/>
  <c r="M8" i="12"/>
  <c r="C8" i="12"/>
  <c r="E8" i="12" s="1"/>
  <c r="M7" i="12"/>
  <c r="N6" i="12"/>
  <c r="M6" i="12"/>
  <c r="L6" i="12"/>
  <c r="M3" i="12"/>
  <c r="M4" i="12" s="1"/>
  <c r="G9" i="11"/>
  <c r="I9" i="11" s="1"/>
  <c r="G7" i="11"/>
  <c r="G6" i="11"/>
  <c r="F6" i="11"/>
  <c r="F11" i="11"/>
  <c r="D11" i="11"/>
  <c r="I11" i="11" s="1"/>
  <c r="D9" i="11"/>
  <c r="D8" i="11"/>
  <c r="D7" i="11"/>
  <c r="D6" i="11"/>
  <c r="G46" i="11"/>
  <c r="G44" i="11"/>
  <c r="G43" i="11"/>
  <c r="I50" i="11" s="1"/>
  <c r="I51" i="11" s="1"/>
  <c r="G42" i="11"/>
  <c r="G41" i="11"/>
  <c r="G40" i="11"/>
  <c r="G33" i="11"/>
  <c r="G32" i="11"/>
  <c r="G29" i="11"/>
  <c r="G28" i="11"/>
  <c r="G35" i="11" s="1"/>
  <c r="L19" i="11"/>
  <c r="L22" i="11" s="1"/>
  <c r="T18" i="11"/>
  <c r="L17" i="11"/>
  <c r="M14" i="11"/>
  <c r="L14" i="11"/>
  <c r="L11" i="11"/>
  <c r="G11" i="11"/>
  <c r="C11" i="11"/>
  <c r="E11" i="11" s="1"/>
  <c r="L10" i="11"/>
  <c r="E9" i="11"/>
  <c r="F9" i="11" s="1"/>
  <c r="M8" i="11"/>
  <c r="C8" i="11"/>
  <c r="E8" i="11" s="1"/>
  <c r="F8" i="11" s="1"/>
  <c r="M7" i="11"/>
  <c r="C7" i="11"/>
  <c r="E7" i="11" s="1"/>
  <c r="F7" i="11" s="1"/>
  <c r="N6" i="11"/>
  <c r="N9" i="11" s="1"/>
  <c r="N10" i="11" s="1"/>
  <c r="M6" i="11"/>
  <c r="L6" i="11"/>
  <c r="C6" i="11"/>
  <c r="M3" i="11"/>
  <c r="M4" i="11" s="1"/>
  <c r="G6" i="9"/>
  <c r="H46" i="9"/>
  <c r="G43" i="9"/>
  <c r="I50" i="9" s="1"/>
  <c r="I51" i="9" s="1"/>
  <c r="G7" i="9"/>
  <c r="G29" i="9"/>
  <c r="G9" i="9"/>
  <c r="I9" i="9"/>
  <c r="D9" i="9"/>
  <c r="C6" i="9"/>
  <c r="G8" i="9"/>
  <c r="T18" i="9"/>
  <c r="G42" i="9"/>
  <c r="G11" i="9"/>
  <c r="G33" i="9"/>
  <c r="G32" i="9"/>
  <c r="G28" i="9"/>
  <c r="D7" i="10"/>
  <c r="E18" i="10"/>
  <c r="D8" i="10"/>
  <c r="D5" i="10"/>
  <c r="D3" i="10"/>
  <c r="G46" i="9"/>
  <c r="G44" i="9"/>
  <c r="G41" i="9"/>
  <c r="G40" i="9"/>
  <c r="K8" i="25" l="1"/>
  <c r="K15" i="25" s="1"/>
  <c r="M30" i="24"/>
  <c r="M31" i="24" s="1"/>
  <c r="E31" i="24"/>
  <c r="G15" i="25"/>
  <c r="D12" i="17"/>
  <c r="C12" i="17"/>
  <c r="D11" i="16"/>
  <c r="F11" i="16" s="1"/>
  <c r="I11" i="16" s="1"/>
  <c r="I7" i="16"/>
  <c r="D7" i="16"/>
  <c r="F7" i="16" s="1"/>
  <c r="H7" i="16" s="1"/>
  <c r="C10" i="16"/>
  <c r="D8" i="16"/>
  <c r="F8" i="16" s="1"/>
  <c r="C14" i="17"/>
  <c r="E11" i="17"/>
  <c r="H11" i="16"/>
  <c r="L25" i="16"/>
  <c r="L26" i="16" s="1"/>
  <c r="L30" i="16"/>
  <c r="M30" i="16" s="1"/>
  <c r="L31" i="16"/>
  <c r="M31" i="16" s="1"/>
  <c r="G12" i="16"/>
  <c r="H35" i="16"/>
  <c r="C12" i="16"/>
  <c r="L12" i="16"/>
  <c r="L15" i="16"/>
  <c r="I9" i="16"/>
  <c r="G27" i="16"/>
  <c r="D6" i="16" s="1"/>
  <c r="F6" i="16" s="1"/>
  <c r="E6" i="16"/>
  <c r="E10" i="16" s="1"/>
  <c r="E12" i="16" s="1"/>
  <c r="H11" i="14"/>
  <c r="L25" i="14"/>
  <c r="L26" i="14" s="1"/>
  <c r="L30" i="14"/>
  <c r="M30" i="14" s="1"/>
  <c r="L31" i="14"/>
  <c r="M31" i="14" s="1"/>
  <c r="L15" i="14"/>
  <c r="H34" i="14"/>
  <c r="C12" i="14"/>
  <c r="L12" i="14"/>
  <c r="N10" i="14"/>
  <c r="N12" i="14" s="1"/>
  <c r="G12" i="14"/>
  <c r="G38" i="14"/>
  <c r="H7" i="14"/>
  <c r="H9" i="14"/>
  <c r="H30" i="14"/>
  <c r="E6" i="14"/>
  <c r="E10" i="14" s="1"/>
  <c r="E12" i="14" s="1"/>
  <c r="G13" i="13"/>
  <c r="S12" i="13"/>
  <c r="N8" i="13" s="1"/>
  <c r="N10" i="13"/>
  <c r="N12" i="13" s="1"/>
  <c r="H5" i="13"/>
  <c r="L12" i="13"/>
  <c r="F10" i="12"/>
  <c r="F12" i="12" s="1"/>
  <c r="I8" i="12"/>
  <c r="G10" i="12"/>
  <c r="L15" i="12"/>
  <c r="D10" i="12"/>
  <c r="D12" i="12" s="1"/>
  <c r="L23" i="12"/>
  <c r="S12" i="12"/>
  <c r="N8" i="12" s="1"/>
  <c r="G29" i="12" s="1"/>
  <c r="H8" i="12" s="1"/>
  <c r="N10" i="12"/>
  <c r="N12" i="12" s="1"/>
  <c r="G31" i="12"/>
  <c r="H34" i="12" s="1"/>
  <c r="H9" i="12"/>
  <c r="E6" i="12"/>
  <c r="G27" i="12"/>
  <c r="L12" i="12"/>
  <c r="H9" i="11"/>
  <c r="E6" i="11"/>
  <c r="I7" i="11"/>
  <c r="H7" i="11"/>
  <c r="I8" i="11"/>
  <c r="H8" i="11"/>
  <c r="G39" i="11"/>
  <c r="H46" i="11"/>
  <c r="H11" i="11"/>
  <c r="C10" i="11"/>
  <c r="G10" i="11"/>
  <c r="I10" i="11" s="1"/>
  <c r="D6" i="9"/>
  <c r="I6" i="9" s="1"/>
  <c r="G35" i="9"/>
  <c r="D10" i="10"/>
  <c r="D20" i="10"/>
  <c r="E15" i="10"/>
  <c r="M7" i="9"/>
  <c r="M8" i="9"/>
  <c r="M6" i="9"/>
  <c r="N6" i="9"/>
  <c r="G39" i="9" s="1"/>
  <c r="H42" i="9" s="1"/>
  <c r="M8" i="25" l="1"/>
  <c r="M15" i="25" s="1"/>
  <c r="F12" i="17"/>
  <c r="E9" i="17"/>
  <c r="E13" i="17"/>
  <c r="L21" i="16"/>
  <c r="G39" i="16"/>
  <c r="H30" i="16"/>
  <c r="F8" i="14"/>
  <c r="L21" i="14"/>
  <c r="D10" i="14"/>
  <c r="D12" i="14" s="1"/>
  <c r="F6" i="14"/>
  <c r="G12" i="12"/>
  <c r="I12" i="12" s="1"/>
  <c r="I10" i="12"/>
  <c r="G38" i="12"/>
  <c r="H11" i="12"/>
  <c r="C12" i="12"/>
  <c r="H30" i="12"/>
  <c r="H7" i="12"/>
  <c r="M10" i="11"/>
  <c r="C12" i="11"/>
  <c r="L12" i="11" s="1"/>
  <c r="G48" i="11"/>
  <c r="H42" i="11"/>
  <c r="E10" i="11"/>
  <c r="E12" i="11" s="1"/>
  <c r="G12" i="11"/>
  <c r="M11" i="11"/>
  <c r="G48" i="9"/>
  <c r="N9" i="9"/>
  <c r="N10" i="9" s="1"/>
  <c r="D14" i="17" l="1"/>
  <c r="F14" i="17" s="1"/>
  <c r="E10" i="17"/>
  <c r="E8" i="17"/>
  <c r="E12" i="17" s="1"/>
  <c r="D10" i="16"/>
  <c r="D12" i="16" s="1"/>
  <c r="H8" i="16"/>
  <c r="I8" i="16"/>
  <c r="F10" i="14"/>
  <c r="H6" i="14"/>
  <c r="H8" i="14"/>
  <c r="H6" i="12"/>
  <c r="F10" i="11"/>
  <c r="H6" i="11"/>
  <c r="D10" i="11"/>
  <c r="I6" i="11"/>
  <c r="C11" i="9"/>
  <c r="C8" i="9"/>
  <c r="D8" i="9" s="1"/>
  <c r="I8" i="9" s="1"/>
  <c r="L19" i="9"/>
  <c r="L17" i="9"/>
  <c r="M14" i="9"/>
  <c r="L14" i="9"/>
  <c r="L11" i="9"/>
  <c r="L10" i="9"/>
  <c r="E9" i="9"/>
  <c r="F9" i="9" s="1"/>
  <c r="H9" i="9" s="1"/>
  <c r="C7" i="9"/>
  <c r="L6" i="9"/>
  <c r="M3" i="9"/>
  <c r="M4" i="9" s="1"/>
  <c r="E8" i="8"/>
  <c r="E9" i="8"/>
  <c r="E6" i="8"/>
  <c r="E7" i="8"/>
  <c r="J21" i="8"/>
  <c r="D11" i="8"/>
  <c r="F11" i="8" s="1"/>
  <c r="E11" i="8"/>
  <c r="K14" i="8"/>
  <c r="J18" i="8"/>
  <c r="J17" i="8"/>
  <c r="C7" i="8"/>
  <c r="D7" i="8" s="1"/>
  <c r="C6" i="8"/>
  <c r="D9" i="8"/>
  <c r="D6" i="8"/>
  <c r="J14" i="8"/>
  <c r="J11" i="8"/>
  <c r="G11" i="8"/>
  <c r="C11" i="8"/>
  <c r="J10" i="8"/>
  <c r="G8" i="8"/>
  <c r="D8" i="8"/>
  <c r="C8" i="8"/>
  <c r="K6" i="8"/>
  <c r="J6" i="8"/>
  <c r="K3" i="8"/>
  <c r="K4" i="8" s="1"/>
  <c r="J14" i="7"/>
  <c r="C11" i="7"/>
  <c r="J10" i="7"/>
  <c r="K11" i="7"/>
  <c r="J11" i="7"/>
  <c r="E9" i="7"/>
  <c r="G9" i="7" s="1"/>
  <c r="E8" i="7"/>
  <c r="E7" i="7"/>
  <c r="E6" i="7"/>
  <c r="E11" i="7"/>
  <c r="G11" i="7" s="1"/>
  <c r="D11" i="7"/>
  <c r="F11" i="7" s="1"/>
  <c r="D7" i="7"/>
  <c r="F7" i="7" s="1"/>
  <c r="D8" i="7"/>
  <c r="D9" i="7"/>
  <c r="D6" i="7"/>
  <c r="C12" i="7"/>
  <c r="K10" i="7"/>
  <c r="C10" i="7"/>
  <c r="F9" i="7"/>
  <c r="G8" i="7"/>
  <c r="C8" i="7"/>
  <c r="G7" i="7"/>
  <c r="C7" i="7"/>
  <c r="K6" i="7"/>
  <c r="J6" i="7"/>
  <c r="G6" i="7"/>
  <c r="K3" i="7"/>
  <c r="K4" i="7" s="1"/>
  <c r="G11" i="6"/>
  <c r="G10" i="6"/>
  <c r="G12" i="6"/>
  <c r="G9" i="6"/>
  <c r="G8" i="6"/>
  <c r="G7" i="6"/>
  <c r="G6" i="6"/>
  <c r="F11" i="6"/>
  <c r="C11" i="6"/>
  <c r="D9" i="6"/>
  <c r="F9" i="6" s="1"/>
  <c r="D8" i="6"/>
  <c r="F8" i="6" s="1"/>
  <c r="C8" i="6"/>
  <c r="F7" i="6"/>
  <c r="D7" i="6"/>
  <c r="C7" i="6"/>
  <c r="C10" i="6" s="1"/>
  <c r="C12" i="6" s="1"/>
  <c r="J12" i="6" s="1"/>
  <c r="K6" i="6"/>
  <c r="J6" i="6"/>
  <c r="E10" i="6"/>
  <c r="K3" i="6"/>
  <c r="K4" i="6" s="1"/>
  <c r="D6" i="6" s="1"/>
  <c r="E9" i="5"/>
  <c r="D10" i="6" l="1"/>
  <c r="F6" i="6"/>
  <c r="F10" i="16"/>
  <c r="H6" i="16"/>
  <c r="I6" i="16"/>
  <c r="F12" i="14"/>
  <c r="H10" i="14"/>
  <c r="H12" i="12"/>
  <c r="H10" i="12"/>
  <c r="D12" i="11"/>
  <c r="I12" i="11" s="1"/>
  <c r="F12" i="11"/>
  <c r="H12" i="11" s="1"/>
  <c r="H10" i="11"/>
  <c r="E11" i="9"/>
  <c r="F11" i="9" s="1"/>
  <c r="H11" i="9" s="1"/>
  <c r="D11" i="9"/>
  <c r="I11" i="9"/>
  <c r="E7" i="9"/>
  <c r="F7" i="9" s="1"/>
  <c r="H7" i="9" s="1"/>
  <c r="D7" i="9"/>
  <c r="I7" i="9" s="1"/>
  <c r="E8" i="9"/>
  <c r="F8" i="9" s="1"/>
  <c r="H8" i="9" s="1"/>
  <c r="L22" i="9"/>
  <c r="C10" i="9"/>
  <c r="G10" i="9"/>
  <c r="E6" i="9"/>
  <c r="F6" i="9" s="1"/>
  <c r="G9" i="8"/>
  <c r="G7" i="8"/>
  <c r="D10" i="8"/>
  <c r="D12" i="8" s="1"/>
  <c r="C10" i="8"/>
  <c r="C12" i="8" s="1"/>
  <c r="J12" i="8" s="1"/>
  <c r="G6" i="8"/>
  <c r="F7" i="8"/>
  <c r="F6" i="8"/>
  <c r="F8" i="8"/>
  <c r="F9" i="8"/>
  <c r="E10" i="8"/>
  <c r="F8" i="7"/>
  <c r="E10" i="7"/>
  <c r="G10" i="7" s="1"/>
  <c r="J12" i="7"/>
  <c r="D10" i="7"/>
  <c r="D12" i="7" s="1"/>
  <c r="F6" i="7"/>
  <c r="E12" i="7"/>
  <c r="D12" i="6"/>
  <c r="F10" i="6"/>
  <c r="E12" i="6"/>
  <c r="J3" i="5"/>
  <c r="J4" i="5" s="1"/>
  <c r="D6" i="5" s="1"/>
  <c r="E6" i="5"/>
  <c r="J6" i="5"/>
  <c r="D9" i="5"/>
  <c r="E14" i="17" l="1"/>
  <c r="F12" i="16"/>
  <c r="H10" i="16"/>
  <c r="I10" i="16"/>
  <c r="H12" i="14"/>
  <c r="F10" i="9"/>
  <c r="F12" i="9" s="1"/>
  <c r="H6" i="9"/>
  <c r="H10" i="9"/>
  <c r="E10" i="9"/>
  <c r="E12" i="9" s="1"/>
  <c r="D10" i="9"/>
  <c r="D12" i="9" s="1"/>
  <c r="M10" i="9"/>
  <c r="C12" i="9"/>
  <c r="L12" i="9" s="1"/>
  <c r="G12" i="9"/>
  <c r="M11" i="9"/>
  <c r="K10" i="8"/>
  <c r="F10" i="8"/>
  <c r="E12" i="8"/>
  <c r="K11" i="8"/>
  <c r="G10" i="8"/>
  <c r="F10" i="7"/>
  <c r="G12" i="7"/>
  <c r="F12" i="7"/>
  <c r="F12" i="6"/>
  <c r="F6" i="5"/>
  <c r="I12" i="16" l="1"/>
  <c r="H12" i="16"/>
  <c r="I10" i="9"/>
  <c r="H12" i="9"/>
  <c r="I12" i="9"/>
  <c r="G12" i="8"/>
  <c r="F12" i="8"/>
  <c r="I6" i="5"/>
  <c r="C11" i="5"/>
  <c r="D11" i="5"/>
  <c r="F11" i="5" s="1"/>
  <c r="E8" i="5"/>
  <c r="D8" i="5"/>
  <c r="C8" i="5"/>
  <c r="E7" i="5"/>
  <c r="D7" i="5"/>
  <c r="C7" i="5"/>
  <c r="C10" i="5"/>
  <c r="D6" i="4"/>
  <c r="F6" i="4" s="1"/>
  <c r="D7" i="4"/>
  <c r="E6" i="4"/>
  <c r="C8" i="4"/>
  <c r="C7" i="4"/>
  <c r="C6" i="4"/>
  <c r="E9" i="4"/>
  <c r="E8" i="4"/>
  <c r="D11" i="4"/>
  <c r="F11" i="4" s="1"/>
  <c r="D9" i="4"/>
  <c r="D8" i="4"/>
  <c r="F9" i="4" l="1"/>
  <c r="F8" i="5"/>
  <c r="D10" i="5"/>
  <c r="D12" i="5" s="1"/>
  <c r="F7" i="5"/>
  <c r="F9" i="5"/>
  <c r="C12" i="5"/>
  <c r="I12" i="5" s="1"/>
  <c r="E10" i="5"/>
  <c r="F8" i="4"/>
  <c r="E7" i="4"/>
  <c r="F7" i="4" s="1"/>
  <c r="E12" i="5" l="1"/>
  <c r="F12" i="5" s="1"/>
  <c r="F10" i="5"/>
  <c r="E10" i="4"/>
  <c r="E12" i="4" s="1"/>
  <c r="D9" i="3"/>
  <c r="F9" i="3" s="1"/>
  <c r="G9" i="3" s="1"/>
  <c r="D6" i="3"/>
  <c r="F6" i="3" s="1"/>
  <c r="D12" i="3"/>
  <c r="F12" i="3" s="1"/>
  <c r="G12" i="3" s="1"/>
  <c r="D10" i="3"/>
  <c r="F10" i="3" s="1"/>
  <c r="G10" i="3" s="1"/>
  <c r="D8" i="3"/>
  <c r="D7" i="3"/>
  <c r="E7" i="3" s="1"/>
  <c r="E6" i="3"/>
  <c r="C8" i="3"/>
  <c r="C11" i="3" s="1"/>
  <c r="C13" i="3" s="1"/>
  <c r="D6" i="2"/>
  <c r="F6" i="2" s="1"/>
  <c r="J11" i="2" s="1"/>
  <c r="D7" i="2"/>
  <c r="F7" i="2" s="1"/>
  <c r="G7" i="2" s="1"/>
  <c r="D8" i="2"/>
  <c r="D9" i="2"/>
  <c r="E9" i="2" s="1"/>
  <c r="D10" i="2"/>
  <c r="F10" i="2" s="1"/>
  <c r="G10" i="2" s="1"/>
  <c r="D12" i="2"/>
  <c r="F12" i="2" s="1"/>
  <c r="G12" i="2" s="1"/>
  <c r="C8" i="2"/>
  <c r="C11" i="2" s="1"/>
  <c r="E10" i="1"/>
  <c r="C8" i="1"/>
  <c r="J10" i="1" s="1"/>
  <c r="D8" i="1"/>
  <c r="K10" i="1" s="1"/>
  <c r="C11" i="1" l="1"/>
  <c r="C13" i="1" s="1"/>
  <c r="D10" i="4"/>
  <c r="C10" i="4"/>
  <c r="E7" i="2"/>
  <c r="J10" i="3"/>
  <c r="E12" i="2"/>
  <c r="F7" i="3"/>
  <c r="G7" i="3" s="1"/>
  <c r="D11" i="3"/>
  <c r="F11" i="3" s="1"/>
  <c r="G11" i="3" s="1"/>
  <c r="E8" i="3"/>
  <c r="E9" i="3"/>
  <c r="E10" i="3"/>
  <c r="K10" i="3"/>
  <c r="E12" i="3"/>
  <c r="G6" i="3"/>
  <c r="F8" i="3"/>
  <c r="G8" i="3" s="1"/>
  <c r="J11" i="3"/>
  <c r="E6" i="2"/>
  <c r="E10" i="2"/>
  <c r="D11" i="2"/>
  <c r="F11" i="2" s="1"/>
  <c r="G11" i="2" s="1"/>
  <c r="F9" i="2"/>
  <c r="G9" i="2" s="1"/>
  <c r="K10" i="2"/>
  <c r="G6" i="2"/>
  <c r="C13" i="2"/>
  <c r="E8" i="2"/>
  <c r="F8" i="2"/>
  <c r="G8" i="2" s="1"/>
  <c r="J10" i="2"/>
  <c r="L10" i="1"/>
  <c r="F12" i="1"/>
  <c r="G12" i="1" s="1"/>
  <c r="F10" i="1"/>
  <c r="G10" i="1" s="1"/>
  <c r="F9" i="1"/>
  <c r="G9" i="1" s="1"/>
  <c r="F7" i="1"/>
  <c r="G7" i="1" s="1"/>
  <c r="F6" i="1"/>
  <c r="E12" i="1"/>
  <c r="E9" i="1"/>
  <c r="E7" i="1"/>
  <c r="E6" i="1"/>
  <c r="D12" i="4" l="1"/>
  <c r="F12" i="4" s="1"/>
  <c r="F10" i="4"/>
  <c r="L10" i="3"/>
  <c r="C12" i="4"/>
  <c r="D13" i="3"/>
  <c r="E13" i="3" s="1"/>
  <c r="M10" i="3"/>
  <c r="N10" i="3" s="1"/>
  <c r="N11" i="3" s="1"/>
  <c r="E11" i="3"/>
  <c r="D13" i="2"/>
  <c r="F13" i="2" s="1"/>
  <c r="G13" i="2" s="1"/>
  <c r="L10" i="2"/>
  <c r="E11" i="2"/>
  <c r="M10" i="2"/>
  <c r="N10" i="2" s="1"/>
  <c r="G6" i="1"/>
  <c r="J11" i="1"/>
  <c r="F8" i="1"/>
  <c r="G8" i="1" s="1"/>
  <c r="D11" i="1"/>
  <c r="F11" i="1" s="1"/>
  <c r="G11" i="1" s="1"/>
  <c r="E8" i="1"/>
  <c r="I12" i="4" l="1"/>
  <c r="F13" i="3"/>
  <c r="G13" i="3" s="1"/>
  <c r="N11" i="2"/>
  <c r="E13" i="2"/>
  <c r="M10" i="1"/>
  <c r="N10" i="1" s="1"/>
  <c r="N11" i="1" s="1"/>
  <c r="E11" i="1"/>
  <c r="D13" i="1"/>
  <c r="F13" i="1" l="1"/>
  <c r="G13" i="1" s="1"/>
  <c r="E13" i="1"/>
</calcChain>
</file>

<file path=xl/sharedStrings.xml><?xml version="1.0" encoding="utf-8"?>
<sst xmlns="http://schemas.openxmlformats.org/spreadsheetml/2006/main" count="863" uniqueCount="212">
  <si>
    <t>องค์ประกอบที่ 5 ศักยภาพในการดำเนินการของหน่วยงาน (Potential Base)</t>
  </si>
  <si>
    <t xml:space="preserve">    ตัวชี้วัดที่ 5.1 ความสำเร็จของการเบิกจ่ายงบประมาณในภาพรวม </t>
  </si>
  <si>
    <t>หมวดรายจ่าย</t>
  </si>
  <si>
    <t>งบประมาณ</t>
  </si>
  <si>
    <t xml:space="preserve">หลังปรับโอน </t>
  </si>
  <si>
    <t>(จำนวนเงิน</t>
  </si>
  <si>
    <t xml:space="preserve">ผลการเบิกจ่าย </t>
  </si>
  <si>
    <t xml:space="preserve">งบประมาณ </t>
  </si>
  <si>
    <t>จำนวนเงิน</t>
  </si>
  <si>
    <t>ร้อยละ</t>
  </si>
  <si>
    <t>คงเหลือ</t>
  </si>
  <si>
    <t xml:space="preserve">ปัญหา/อุปสรรค ในการดำเนินงาน </t>
  </si>
  <si>
    <t>รวมงบประมาณประจำปี</t>
  </si>
  <si>
    <t xml:space="preserve">รวมทั้งสิ้น </t>
  </si>
  <si>
    <t>หมายเหตุ : 1. ผลการเบิกจ่ายงบประมาณ จำนวน 5 หมวดรายจ่าย ไม่รวมหมวดเงินเดือนและค่าจ้างประจำ หมวดค่าจ้างชั่วคราว งบประมาณรายจ่ายเพิ่มเติม งบเงินอุดหนุนรัฐบาล</t>
  </si>
  <si>
    <t xml:space="preserve">         และงบประมาณประจำปี 2563 กันไว้เบิกเหลื่อมปีในปี 2564</t>
  </si>
  <si>
    <t xml:space="preserve"> </t>
  </si>
  <si>
    <t xml:space="preserve">ลงชื่อ ........................................................................ (ผู้รายงาน) </t>
  </si>
  <si>
    <t xml:space="preserve">        2. งบกลางไม่รวมรายการเงินช่วยเหลือข้าราชการและลูกจ้าง งบกลางรายการเงินบำเหน็จลูกจ้าง งบกลางเพิ่มเติม และงบประมาณปี 2563 กันไว้เบิกเหลื่อมปีในปี 2564</t>
  </si>
  <si>
    <t xml:space="preserve">(นางสาวเกษร  ดีด้วยมี) </t>
  </si>
  <si>
    <t xml:space="preserve"> หมวดค่าตอบแทน ใช้สอยและวัสดุ</t>
  </si>
  <si>
    <t xml:space="preserve"> หมวดค่าสาธารณูปโภค</t>
  </si>
  <si>
    <t xml:space="preserve"> หมวดค่าครุภัณฑ์ ที่ดินและสิ่งก่อสร้าง</t>
  </si>
  <si>
    <t xml:space="preserve"> หมวดเงินอุดหนุน</t>
  </si>
  <si>
    <t xml:space="preserve"> หมวดรายจ่ายอื่น</t>
  </si>
  <si>
    <t xml:space="preserve"> งบกลาง </t>
  </si>
  <si>
    <t xml:space="preserve">  รัฐบาลมีมติ ให้ปิดแคมป์คนงานก่อสร้าง</t>
  </si>
  <si>
    <t xml:space="preserve">  เนื่องจากเกิดสถานการณ์การแพร่ระบาด</t>
  </si>
  <si>
    <t xml:space="preserve"> นักวิชาการเงินและบัญชีปฏิบัติการ </t>
  </si>
  <si>
    <t>ฝ่ายการคลัง สำนักงานเขตคลองสามวา</t>
  </si>
  <si>
    <t xml:space="preserve">  ของโรคติดเชื้อไวรัสโคโรนา 2019(Covid-19) </t>
  </si>
  <si>
    <t xml:space="preserve">  ไม่สามารถดำเนินการได้ทันตามสัญญาได้</t>
  </si>
  <si>
    <t xml:space="preserve">  ในพื้นที่ที่มีการระบาด งดการเดินทาง</t>
  </si>
  <si>
    <t xml:space="preserve">  และห้ามเคลื่อนย้ายแรงงาน ทำให้ผู้รับจ้าง</t>
  </si>
  <si>
    <t>ณ 30 กันยายน 2564</t>
  </si>
  <si>
    <t>ณ 30 กันยายน 2564(หักส่งคืนเงินเหลือจ่ายและยกเลิกโครงการแล้ว)</t>
  </si>
  <si>
    <t>ประเภทงบรายจ่าย</t>
  </si>
  <si>
    <t>ข้อมูล ณ วันที่ 31 มีนาคม พ.ศ. 2565</t>
  </si>
  <si>
    <t>ผลการเบิกจ่าย</t>
  </si>
  <si>
    <t>แผนการเบิกจ่าย</t>
  </si>
  <si>
    <t>การเบิกจ่าย</t>
  </si>
  <si>
    <t xml:space="preserve">        2. รายงานความสำเร็จของการเบิกจ่ายงบประมาณ ณ 31 มีนาคม 2565</t>
  </si>
  <si>
    <t xml:space="preserve">           ในปีงบประมาณ พ.ศ. 2565 (ไม่รวมงบประมาณรายจ่ายประจำปี ประเภทงบบุคลากร และงบกลางรายการเงินช่วยเหลือข้าราชการและลูกจ้าง งบกลางรายการเงินบำเหน็จลูกจ้าง</t>
  </si>
  <si>
    <t xml:space="preserve">           งบประมาณรายจ่ายเพิ่มเติม งบเงินอุดหนุนรัฐบาล และงบประมาณรายจ่ายประจำปี 2564 กันไว้เบิกเหลื่อมปีในปีงบประมาณ พ.ศ. 2565)</t>
  </si>
  <si>
    <t xml:space="preserve"> งบดำเนินงาน</t>
  </si>
  <si>
    <t xml:space="preserve"> งบลงทุน</t>
  </si>
  <si>
    <t xml:space="preserve"> งบเงินอุดหนุน</t>
  </si>
  <si>
    <t xml:space="preserve"> งบรายจ่ายอื่น</t>
  </si>
  <si>
    <r>
      <rPr>
        <u/>
        <sz val="16"/>
        <rFont val="TH SarabunPSK"/>
        <family val="2"/>
      </rPr>
      <t>หมายเหตุ</t>
    </r>
    <r>
      <rPr>
        <sz val="16"/>
        <rFont val="TH SarabunPSK"/>
        <family val="2"/>
      </rPr>
      <t xml:space="preserve"> : 1. ผลการเบิกจ่ายงบประมาณ จำนวน 4 ประเภทรายจ่าย ได้แก่งบดำเนินงาน งบลงทุน งบเงินอุดหนุน และงบรายจ่ายอื่น และงบกลางทุกประเภทที่ได้รับจัดสรร </t>
    </r>
  </si>
  <si>
    <t>ค่าสาธารณูปโภค  =</t>
  </si>
  <si>
    <t xml:space="preserve">                (นางสาวเกษร  ดีด้วยมี) </t>
  </si>
  <si>
    <t xml:space="preserve">           นักวิชาการเงินและบัญชีปฏิบัติการ </t>
  </si>
  <si>
    <t xml:space="preserve">         ฝ่ายการคลัง สำนักงานเขตคลองสามวา</t>
  </si>
  <si>
    <r>
      <rPr>
        <u/>
        <sz val="15"/>
        <rFont val="TH SarabunPSK"/>
        <family val="2"/>
      </rPr>
      <t>หมายเหตุ</t>
    </r>
    <r>
      <rPr>
        <sz val="15"/>
        <rFont val="TH SarabunPSK"/>
        <family val="2"/>
      </rPr>
      <t xml:space="preserve"> : 1. ผลการเบิกจ่ายงบประมาณ จำนวน 4 ประเภทรายจ่าย ได้แก่งบดำเนินงาน งบลงทุน งบเงินอุดหนุน และงบรายจ่ายอื่น และงบกลางทุกประเภทที่ได้รับจัดสรร </t>
    </r>
  </si>
  <si>
    <t xml:space="preserve">        2. รายงานความสำเร็จของการเบิกจ่ายงบประมาณ ณ 27 เมษายน 2565</t>
  </si>
  <si>
    <t>ข้อมูล ณ วันที่ 27 เมษายน พ.ศ. 2565</t>
  </si>
  <si>
    <t>เปรียบเทียบทั้งปี</t>
  </si>
  <si>
    <t>(จำนวนเงิน)</t>
  </si>
  <si>
    <t>ง. 401</t>
  </si>
  <si>
    <t xml:space="preserve">        2. รายงานความสำเร็จของการเบิกจ่ายงบประมาณ ณ. 18 กรกฎาคม 2565</t>
  </si>
  <si>
    <t>ข้อมูล ณ วันที่ 16 กันยายน พ.ศ. 2565</t>
  </si>
  <si>
    <t xml:space="preserve">        2. รายงานความสำเร็จของการเบิกจ่ายงบประมาณ ณ. 16 กันยายน 2565</t>
  </si>
  <si>
    <t xml:space="preserve">        2. รายงานความสำเร็จของการเบิกจ่ายงบประมาณ ณ. 20 กันยายน 2565</t>
  </si>
  <si>
    <t>กันเงิน 3,139,697 บาท</t>
  </si>
  <si>
    <t>กันเหลื่อมปี</t>
  </si>
  <si>
    <t>กันเงินค่าตอบแทนฯ = 1424234.33 บาท</t>
  </si>
  <si>
    <t>1. ค่าตอบแทนใช้สอยและวัสดุ(ค่าใช้สอย)</t>
  </si>
  <si>
    <t>2. ค่าครุภัณฑ์ที่ดินและสิ่งปลูกสร้าง(ค่าที่ดิน)</t>
  </si>
  <si>
    <t>3. งบเงินอุดหนุน</t>
  </si>
  <si>
    <t>กันเงินเหลื่อมปี 65 เบิกจ่ายปีงบ 66</t>
  </si>
  <si>
    <t>5. งบกลาง (11) เงินสำรองทั่วไปกรณีฉุกเฉินหรือจำเป็น</t>
  </si>
  <si>
    <t xml:space="preserve">   รายการค่าใช้จ่ายในการเลือกตั้งผู้ว่าฯ</t>
  </si>
  <si>
    <t>4. งบกลาง (68) ค่าตอบแทนผู้ปฏิบัติงานราชการ</t>
  </si>
  <si>
    <t xml:space="preserve">    เบิกจ่ายข้ามปีได้  เบิกจ่ายปีการศึกษา 2/65</t>
  </si>
  <si>
    <t>รายการที่คาดว่าจะเบิกจ่ายได้ทันในปีงบประมาณ พ.ศ. 2565</t>
  </si>
  <si>
    <t>1. ปรับปรุงสำนักงานเขต</t>
  </si>
  <si>
    <t>3. ค่าวัสดุอุปกรณ์บำรุงรักษาระบบระบายน้ำ (ฝาท่อ)</t>
  </si>
  <si>
    <t>5. ค่าอาหารกลางวันและอาหารเสริม(นม)</t>
  </si>
  <si>
    <t>6. ค่าวารสารบ้านหนังสือ</t>
  </si>
  <si>
    <t>4. ค่าตอบแทนเจ้าหน้าที่เก็บขนมูลฝอย, ขนถ่ายมูลฝอย</t>
  </si>
  <si>
    <t>7. ค่าอาหารเช้า-กลางวันนักเรียน สัปดาห์ที่ 19</t>
  </si>
  <si>
    <t>ปกครอง</t>
  </si>
  <si>
    <t>โยธา</t>
  </si>
  <si>
    <t>ระบายน้ำ</t>
  </si>
  <si>
    <t>รักษาฯ</t>
  </si>
  <si>
    <t>พัฒนาฯ</t>
  </si>
  <si>
    <t>ศึกษา</t>
  </si>
  <si>
    <t>2. คชจ.ในการซ่อมแซมบำรุงรักษา ถนน ตรอก ซอยฯ (3 รายการ)</t>
  </si>
  <si>
    <t>งบลงทุน</t>
  </si>
  <si>
    <t>รายจ่ายอื่น</t>
  </si>
  <si>
    <t>งบดำเนินการ</t>
  </si>
  <si>
    <t>งบเงินอุดหนุน</t>
  </si>
  <si>
    <t xml:space="preserve">        3. งบประมาณรายจ่ายประจำปี 2565 กันไว้เบิกเหลื่อมปีในปีงบประมาณ พ.ศ. 2566(งบดำเนินการ=1,424,234.33 ,งบลงทุน=4,739,560.- ,งบเงินอุดหนุน=3,139,697.- ,งบกลาง(17)=133,883.- )</t>
  </si>
  <si>
    <t>4. งบกลาง (17) กรณีค่าใช้จ่ายเพื่อการพัฒนากรุงเทพมหานคร</t>
  </si>
  <si>
    <t xml:space="preserve">        4. เงินคงเหลือ งบกลาง(68)คชจ.เกี่ยวกับภารกิจ/นโยบายรัฐบาล = 714,348.- และ งบกลาง(11)เงินสำรองทั่วไปกรณีฉุกเฉินหรือจำเป็น 782,013.-</t>
  </si>
  <si>
    <t xml:space="preserve"> คงเหลือ งบกลาง(11) ค่าใช้จ่ายในการเลือกตั้งผู้ว่าฯ</t>
  </si>
  <si>
    <t xml:space="preserve"> = 782,013.- บาท  </t>
  </si>
  <si>
    <t xml:space="preserve"> และงบกลาง(68) ที่เบิกจ่ายข้ามปีได้ = 714,348.-บาท</t>
  </si>
  <si>
    <t>ข้อมูล ณ วันที่ 20 กันยายน พ.ศ. 2565</t>
  </si>
  <si>
    <t>หลังอุทธรณ์</t>
  </si>
  <si>
    <t>หลังอุทธรณ์(จำนวนเงิน)</t>
  </si>
  <si>
    <t>6. งบกลาง (68) คชจ.เกี่ยวกับภารกิจ/นโยบายรัฐบาล</t>
  </si>
  <si>
    <t>7. งบกลาง (11) เงินสำรองทั่วไปกรณีฉุกเฉินหรือจำเป็น</t>
  </si>
  <si>
    <t xml:space="preserve">กันเหลื่อมปี </t>
  </si>
  <si>
    <r>
      <t xml:space="preserve">กันเหลื่อมปี </t>
    </r>
    <r>
      <rPr>
        <sz val="16"/>
        <color rgb="FFFF0000"/>
        <rFont val="TH SarabunPSK"/>
        <family val="2"/>
      </rPr>
      <t>อุทธรณ์</t>
    </r>
  </si>
  <si>
    <t>5. ยอดคงเหลือ งบกลาง (17) กรณีค่าใช้จ่ายเพื่อการพัฒนากรุงเทพมหานคร</t>
  </si>
  <si>
    <t>รวมงบกลาง 65</t>
  </si>
  <si>
    <t>ข้อมูล ณ วันที่ 27 กันยายน พ.ศ. 2565</t>
  </si>
  <si>
    <t xml:space="preserve">        2. รายงานความสำเร็จของการเบิกจ่ายงบประมาณ ณ. 27 กันยายน 2565</t>
  </si>
  <si>
    <t xml:space="preserve">               ในปีงบประมาณ พ.ศ. 2565 (ไม่รวมงบประมาณรายจ่ายประจำปี ประเภทงบบุคลากร และงบกลางรายการเงินช่วยเหลือข้าราชการและลูกจ้าง งบกลางรายการเงินบำเหน็จลูกจ้าง</t>
  </si>
  <si>
    <t xml:space="preserve">            2. รายงานความสำเร็จของการเบิกจ่ายงบประมาณ ณ. 30 กันยายน 2565</t>
  </si>
  <si>
    <t>เช้า</t>
  </si>
  <si>
    <t>กลางวัน</t>
  </si>
  <si>
    <t xml:space="preserve">            3. งบประมาณรายจ่ายประจำปี 2565 กันไว้เบิกเหลื่อมปีในปีงบประมาณ พ.ศ. 2566(งบดำเนินการ=1,424,234.33 ,งบลงทุน=4,739,560.- ,งบเงินอุดหนุน=3,074,429.- ,งบกลาง(17)=133,883.- )</t>
  </si>
  <si>
    <t>งบกลาง</t>
  </si>
  <si>
    <t>งบลงทุน(เพิ่มเติม)</t>
  </si>
  <si>
    <t>รวมกันเงินทั้งหมด</t>
  </si>
  <si>
    <t xml:space="preserve">8. รายการที่ยกเลิกการดำเนินการ 2 รายการ </t>
  </si>
  <si>
    <t>ข้อมูล ณ วันที่ 30 กันยายน พ.ศ. 2565</t>
  </si>
  <si>
    <t xml:space="preserve">            5. เงินคงเหลือ งบกลาง(68)คชจ.เกี่ยวกับภารกิจ/นโยบายรัฐบาล = 714,348.- และ งบกลาง(11)เงินสำรองทั่วไปกรณีฉุกเฉินหรือจำเป็น 782,013.-</t>
  </si>
  <si>
    <t xml:space="preserve">               งบประมาณรายจ่ายเพิ่มเติม งบเงินอุดหนุนรัฐบาล และงบประมาณรายจ่ายประจำปี 2564 กันไว้เบิกเหลื่อมปีในปีงบประมาณ พ.ศ. 2565)</t>
  </si>
  <si>
    <t xml:space="preserve">   - คชจ.สนับสนุนการสอนพระพุทธศานาวันอาทิตย์  = 328,400.-</t>
  </si>
  <si>
    <t xml:space="preserve"> มีรายการยกเลิกการดำเนินการ จำนวน 2 รายการ</t>
  </si>
  <si>
    <t xml:space="preserve"> จำนวน 583,500.-  เนื่องจากเป็นกิจกรรมที่มีการรวมตัว</t>
  </si>
  <si>
    <t xml:space="preserve"> กระจายเชื้อไวรัสโคโรนา(Covid-19)ได้ง่าย</t>
  </si>
  <si>
    <t xml:space="preserve"> ของคนจำนวนมาก อาจมีโอกาสในการรับและแพร่</t>
  </si>
  <si>
    <t xml:space="preserve">            4. รายการยกเลิกการดำเนินการ 2 รายการ งบรายจ่ายอื่น = 583,500.-</t>
  </si>
  <si>
    <t xml:space="preserve">   - คชจ.เตรียมงานรับเสด็จพระบาทสมเด็จพระปรเมนทรรามาธิบดีฯ (เสด็จเมาลิดกลาง) = 255,100.-</t>
  </si>
  <si>
    <t>กันเหลื่อมปี อุทธรณ์</t>
  </si>
  <si>
    <t>ณ 30 กันยายน 2565(หักอุทธรณ์แล้ว)</t>
  </si>
  <si>
    <t xml:space="preserve">            4. รายการยกเลิกการดำเนินการ 2 รายการ งบรายจ่ายอื่น = 583,500.- บาท (ทำบันทึกขอยกเลิกการดำเนินการแล้ว)</t>
  </si>
  <si>
    <t>ณ. 30 กันยายน 2565 ตาม ง.401</t>
  </si>
  <si>
    <t xml:space="preserve">               งบเงินอุดหนุน = 1,432,068.50 บาท , งบรายจ่ายอื่น = 1,832,038.76 บาท (ยกเลิกขอดำเนินการ = 8,734.- บาท) งบกลาง(68)คชจ.เกี่ยวกับภารกิจ/นโยบายรัฐบาล = 714,348.- บาท </t>
  </si>
  <si>
    <t xml:space="preserve">            5. ส่งคืนเงินเหลือจ่าย ค่าตอบแทนใช้สอย = 1,099,828.31 บาท , ค่าสาธารณูปโภค = 43,161.08 บาท , ค่าครุภัณฑ์ที่ดินและสิ่งก่อสร้าง (ไม่มีงวด) = 22,990.- บาท</t>
  </si>
  <si>
    <t xml:space="preserve">               งบกลาง(17)กรณีค่าใช้จ่ายเพื่อการพัฒนากรุงเทพมหานคร = 103,508.84 บาท และงบกลาง(11)เงินสำรองทั่วไปกรณีฉุกเฉินหรือจำเป็น = 782,012.74.- บาท</t>
  </si>
  <si>
    <t xml:space="preserve"> มีกันไว้เบิกเหลื่อมปีในปีงบประมาณ พ.ศ. 2566</t>
  </si>
  <si>
    <t xml:space="preserve"> งบเงินอุดหนุน=3,074,429.- </t>
  </si>
  <si>
    <t xml:space="preserve"> หน่วยงานไม่สามารถเบิกจ่ายได้ เนื่องจากสัญญา</t>
  </si>
  <si>
    <t xml:space="preserve"> งบดำเนินการ=1,424,234.33 ,งบลงทุน=4,739,560.-</t>
  </si>
  <si>
    <t xml:space="preserve"> และงบกลาง(17)=133,883.- </t>
  </si>
  <si>
    <t xml:space="preserve"> สิ้นสุดวันที่ 30 กันยายน 2565  ดังนี้</t>
  </si>
  <si>
    <t xml:space="preserve"> งบบุคลากร</t>
  </si>
  <si>
    <t>ณ วันที่ 11 มกราคม 2566</t>
  </si>
  <si>
    <t>ยอด</t>
  </si>
  <si>
    <t>เบิกจ่าย</t>
  </si>
  <si>
    <t>เบิกจ่ายงบประมาณในภาพรวม ประจำปีงบประมาณ พ.ศ. 2566</t>
  </si>
  <si>
    <t>สำนักงานเขตคลองสามวา</t>
  </si>
  <si>
    <t>รวม</t>
  </si>
  <si>
    <t>-</t>
  </si>
  <si>
    <t>ค่าจ้าง</t>
  </si>
  <si>
    <t>ชั่วคราว</t>
  </si>
  <si>
    <t>ค่าตอบแทน</t>
  </si>
  <si>
    <t>ค่า</t>
  </si>
  <si>
    <t>สาธารณูปโภค</t>
  </si>
  <si>
    <t>เงินอุดหนุน</t>
  </si>
  <si>
    <t>รวมทั้งสิ้น</t>
  </si>
  <si>
    <t>รายงานสรุปการใช้จ่ายงบประมาณรายจ่าย ระดับหน่วยงาน</t>
  </si>
  <si>
    <t>หน้าที่ : 1/1</t>
  </si>
  <si>
    <t xml:space="preserve">ผู้จัดพิมพ์ : นางสาวเกษร ดีด้วยมี </t>
  </si>
  <si>
    <t>แบบ ง.401</t>
  </si>
  <si>
    <t>รายการ/งบประมาณรายจ่าย</t>
  </si>
  <si>
    <t>งบประมาณอนุมัติ</t>
  </si>
  <si>
    <t>อนุมัติแล้ว</t>
  </si>
  <si>
    <t>โอนเพิ่ม (+)</t>
  </si>
  <si>
    <t>โอนลด (-)</t>
  </si>
  <si>
    <t>อยู่ระหว่างเสนอขออนุมัติ</t>
  </si>
  <si>
    <t>โอนทั้งสิ้น (2+3)</t>
  </si>
  <si>
    <t>งบประมาณหลังปรับโอน (1+4)</t>
  </si>
  <si>
    <t>อนุมัติเงินประจำงวดหลังปรับโอน</t>
  </si>
  <si>
    <t>รายจ่ายทั้งสิ้น (7+8)</t>
  </si>
  <si>
    <t>% รายจ่ายทั้งสิ้น (9/5x100)</t>
  </si>
  <si>
    <t>งบประมาณคงเหลือ (5-9)</t>
  </si>
  <si>
    <t>%งบประมาณคงเหลือ (11/5x100)</t>
  </si>
  <si>
    <t>ระบบงานงบประมาณ</t>
  </si>
  <si>
    <t>ค่าจ้างประจำ</t>
  </si>
  <si>
    <t>เงินเดือนและ</t>
  </si>
  <si>
    <t>ใช้สอยและวัสดุ</t>
  </si>
  <si>
    <t>ครุภัณฑ์</t>
  </si>
  <si>
    <t>ที่ดินและสิ่งก่อสร้าง</t>
  </si>
  <si>
    <t>ค่าครุภัณฑ์ ที่ดินและสิ่งก่อสร้าง</t>
  </si>
  <si>
    <t>รายจ่ายก่อน 01/10/65</t>
  </si>
  <si>
    <t>รายงานสรุปการใช้จ่ายเงินงบกลาง ระดับหน่วยงาน</t>
  </si>
  <si>
    <t>งบประมาณที่ได้รับ</t>
  </si>
  <si>
    <t>แบบ ง.402</t>
  </si>
  <si>
    <t>ระหว่างวันที่ 1 ตุลาคม 2566 ถึงวันที่ 31 มีนาคม 2567</t>
  </si>
  <si>
    <t>รายการงบประมาณประจำปี พ.ศ. 2567</t>
  </si>
  <si>
    <t>วันที่พิมพ์ : 01/04/2567  10:56:13</t>
  </si>
  <si>
    <t>โอนก่อน 01/10/66</t>
  </si>
  <si>
    <t>โอนตั้งแต่ 01/10/66 ถึง 31/03/67</t>
  </si>
  <si>
    <t>-3,664,200</t>
  </si>
  <si>
    <t xml:space="preserve"> -</t>
  </si>
  <si>
    <t>-540,840</t>
  </si>
  <si>
    <t>-288,000</t>
  </si>
  <si>
    <t>-2,020,050</t>
  </si>
  <si>
    <t>-6,513,090</t>
  </si>
  <si>
    <t>รายจ่ายตั้งแต่ 01/10/66 ถึง 31/03/67</t>
  </si>
  <si>
    <t xml:space="preserve">ปัญหาและอุปสรรค  </t>
  </si>
  <si>
    <t>-ไม่มี -</t>
  </si>
  <si>
    <t>ณ วันที่ 31 มีนาคม 2567</t>
  </si>
  <si>
    <t>วันที่พิมพ์ : 01/04/2567  11:52:57</t>
  </si>
  <si>
    <t>รหัสรายงาน : REP_BUD_016_1_DAY</t>
  </si>
  <si>
    <t>รหัสรายงาน : REP_BUD_017_2</t>
  </si>
  <si>
    <t>: เงินสำรองสำหรับค่างาน ส่วนที่เพิ่มตามสัญญา แบบปรับราคาได้</t>
  </si>
  <si>
    <t>03</t>
  </si>
  <si>
    <t>: ค่าตอบแทน ใช้สอยและวัสดุ</t>
  </si>
  <si>
    <t>06</t>
  </si>
  <si>
    <t>: ค่าใช้จ่ายเกี่ยวกับภารกิจและ หรือนโยบายที่ได้รับมอบจากรัฐบาล</t>
  </si>
  <si>
    <t>07</t>
  </si>
  <si>
    <t>ล่าช้ากว่าแผน</t>
  </si>
  <si>
    <t>(เป้าหมาย 35%)</t>
  </si>
  <si>
    <t xml:space="preserve">ผลการใช้จ่ายงบประมาณ : </t>
  </si>
  <si>
    <t xml:space="preserve">ปัญหาและอุปสรรค 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</si>
</sst>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38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u/>
      <sz val="16"/>
      <color theme="1"/>
      <name val="TH SarabunPSK"/>
      <family val="2"/>
    </font>
    <font>
      <b/>
      <u/>
      <sz val="16"/>
      <name val="TH SarabunPSK"/>
      <family val="2"/>
    </font>
    <font>
      <u/>
      <sz val="16"/>
      <name val="TH SarabunPSK"/>
      <family val="2"/>
    </font>
    <font>
      <sz val="15"/>
      <name val="TH SarabunPSK"/>
      <family val="2"/>
    </font>
    <font>
      <u/>
      <sz val="15"/>
      <name val="TH SarabunPSK"/>
      <family val="2"/>
    </font>
    <font>
      <b/>
      <sz val="14"/>
      <name val="TH SarabunPSK"/>
      <family val="2"/>
    </font>
    <font>
      <b/>
      <sz val="16"/>
      <color rgb="FF00B050"/>
      <name val="TH SarabunPSK"/>
      <family val="2"/>
    </font>
    <font>
      <sz val="14"/>
      <name val="TH SarabunPSK"/>
      <family val="2"/>
    </font>
    <font>
      <b/>
      <sz val="16"/>
      <color rgb="FFFF0000"/>
      <name val="TH SarabunPSK"/>
      <family val="2"/>
    </font>
    <font>
      <sz val="16"/>
      <color rgb="FF00B050"/>
      <name val="TH SarabunPSK"/>
      <family val="2"/>
    </font>
    <font>
      <u/>
      <sz val="16"/>
      <color rgb="FFFF0000"/>
      <name val="TH SarabunPSK"/>
      <family val="2"/>
    </font>
    <font>
      <u/>
      <sz val="15"/>
      <color rgb="FF7030A0"/>
      <name val="TH SarabunPSK"/>
      <family val="2"/>
    </font>
    <font>
      <sz val="15"/>
      <color rgb="FF0070C0"/>
      <name val="TH SarabunPSK"/>
      <family val="2"/>
    </font>
    <font>
      <sz val="14"/>
      <color rgb="FF0070C0"/>
      <name val="TH SarabunPSK"/>
      <family val="2"/>
    </font>
    <font>
      <b/>
      <sz val="14"/>
      <color rgb="FFFF0000"/>
      <name val="TH SarabunPSK"/>
      <family val="2"/>
    </font>
    <font>
      <sz val="14"/>
      <color rgb="FF00B050"/>
      <name val="TH SarabunPSK"/>
      <family val="2"/>
    </font>
    <font>
      <b/>
      <sz val="14"/>
      <color rgb="FF00B050"/>
      <name val="TH SarabunPSK"/>
      <family val="2"/>
    </font>
    <font>
      <b/>
      <sz val="15"/>
      <color rgb="FF00B050"/>
      <name val="TH SarabunPSK"/>
      <family val="2"/>
    </font>
    <font>
      <b/>
      <sz val="16"/>
      <color rgb="FF7030A0"/>
      <name val="TH SarabunPSK"/>
      <family val="2"/>
    </font>
    <font>
      <b/>
      <sz val="15"/>
      <name val="TH SarabunPSK"/>
      <family val="2"/>
    </font>
    <font>
      <b/>
      <sz val="18"/>
      <name val="TH SarabunPSK"/>
      <family val="2"/>
    </font>
    <font>
      <b/>
      <u/>
      <sz val="15"/>
      <name val="TH SarabunPSK"/>
      <family val="2"/>
    </font>
    <font>
      <sz val="15"/>
      <name val="TH SarabunPSK"/>
      <family val="2"/>
      <charset val="222"/>
    </font>
    <font>
      <sz val="15"/>
      <name val="Tahoma"/>
      <family val="2"/>
      <charset val="222"/>
      <scheme val="minor"/>
    </font>
    <font>
      <sz val="12"/>
      <name val="TH SarabunPSK"/>
      <family val="2"/>
      <charset val="222"/>
    </font>
    <font>
      <sz val="11"/>
      <name val="TH SarabunPSK"/>
      <family val="2"/>
      <charset val="222"/>
    </font>
    <font>
      <sz val="11"/>
      <name val="Tahoma"/>
      <family val="2"/>
      <charset val="222"/>
      <scheme val="minor"/>
    </font>
    <font>
      <sz val="18"/>
      <name val="TH SarabunPSK"/>
      <family val="2"/>
      <charset val="222"/>
    </font>
    <font>
      <sz val="18"/>
      <name val="TH SarabunPSK"/>
      <family val="2"/>
    </font>
    <font>
      <b/>
      <sz val="18"/>
      <color rgb="FFFF0000"/>
      <name val="TH SarabunPSK"/>
      <family val="2"/>
    </font>
    <font>
      <sz val="18"/>
      <name val="Tahoma"/>
      <family val="2"/>
      <charset val="22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64">
    <xf numFmtId="0" fontId="0" fillId="0" borderId="0" xfId="0"/>
    <xf numFmtId="0" fontId="2" fillId="0" borderId="0" xfId="0" applyFont="1"/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3" fontId="2" fillId="0" borderId="1" xfId="1" applyFont="1" applyBorder="1"/>
    <xf numFmtId="0" fontId="3" fillId="0" borderId="0" xfId="0" applyFont="1"/>
    <xf numFmtId="43" fontId="2" fillId="0" borderId="4" xfId="1" applyFont="1" applyBorder="1"/>
    <xf numFmtId="4" fontId="2" fillId="0" borderId="4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 vertical="top"/>
    </xf>
    <xf numFmtId="43" fontId="2" fillId="0" borderId="0" xfId="0" applyNumberFormat="1" applyFont="1"/>
    <xf numFmtId="43" fontId="3" fillId="0" borderId="0" xfId="0" applyNumberFormat="1" applyFont="1"/>
    <xf numFmtId="4" fontId="3" fillId="0" borderId="0" xfId="0" applyNumberFormat="1" applyFont="1"/>
    <xf numFmtId="43" fontId="2" fillId="0" borderId="4" xfId="1" applyFont="1" applyBorder="1" applyAlignment="1">
      <alignment vertical="top"/>
    </xf>
    <xf numFmtId="4" fontId="2" fillId="0" borderId="4" xfId="0" applyNumberFormat="1" applyFont="1" applyBorder="1" applyAlignment="1">
      <alignment horizontal="center" vertical="top"/>
    </xf>
    <xf numFmtId="0" fontId="3" fillId="0" borderId="9" xfId="0" applyFont="1" applyBorder="1" applyAlignment="1">
      <alignment horizontal="center" vertical="center" wrapText="1"/>
    </xf>
    <xf numFmtId="43" fontId="3" fillId="0" borderId="9" xfId="1" applyFont="1" applyBorder="1" applyAlignment="1">
      <alignment vertical="center"/>
    </xf>
    <xf numFmtId="4" fontId="3" fillId="0" borderId="9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top" wrapText="1"/>
    </xf>
    <xf numFmtId="43" fontId="3" fillId="0" borderId="9" xfId="1" applyFont="1" applyBorder="1"/>
    <xf numFmtId="4" fontId="3" fillId="0" borderId="9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43" fontId="3" fillId="0" borderId="0" xfId="1" applyFont="1" applyBorder="1"/>
    <xf numFmtId="4" fontId="3" fillId="0" borderId="0" xfId="0" applyNumberFormat="1" applyFont="1" applyAlignment="1">
      <alignment horizontal="center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center" wrapText="1"/>
    </xf>
    <xf numFmtId="0" fontId="5" fillId="0" borderId="2" xfId="0" applyFont="1" applyBorder="1" applyAlignment="1">
      <alignment vertical="top" wrapText="1"/>
    </xf>
    <xf numFmtId="0" fontId="5" fillId="0" borderId="3" xfId="0" applyFont="1" applyBorder="1" applyAlignment="1">
      <alignment vertical="top" wrapText="1"/>
    </xf>
    <xf numFmtId="0" fontId="5" fillId="0" borderId="4" xfId="0" applyFont="1" applyBorder="1" applyAlignment="1">
      <alignment vertical="top" wrapText="1"/>
    </xf>
    <xf numFmtId="0" fontId="6" fillId="0" borderId="0" xfId="0" applyFont="1"/>
    <xf numFmtId="0" fontId="6" fillId="0" borderId="9" xfId="0" applyFont="1" applyBorder="1" applyAlignment="1">
      <alignment horizontal="center" vertical="center" wrapText="1"/>
    </xf>
    <xf numFmtId="43" fontId="6" fillId="0" borderId="9" xfId="1" applyFont="1" applyBorder="1" applyAlignment="1">
      <alignment vertical="center"/>
    </xf>
    <xf numFmtId="4" fontId="6" fillId="0" borderId="9" xfId="0" applyNumberFormat="1" applyFont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43" fontId="6" fillId="0" borderId="0" xfId="0" applyNumberFormat="1" applyFont="1"/>
    <xf numFmtId="4" fontId="6" fillId="0" borderId="0" xfId="0" applyNumberFormat="1" applyFont="1"/>
    <xf numFmtId="0" fontId="7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/>
    <xf numFmtId="0" fontId="8" fillId="0" borderId="0" xfId="0" applyFont="1" applyAlignment="1">
      <alignment horizontal="right"/>
    </xf>
    <xf numFmtId="0" fontId="6" fillId="0" borderId="2" xfId="0" applyFont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5" fillId="0" borderId="1" xfId="0" applyFont="1" applyBorder="1" applyAlignment="1">
      <alignment horizontal="left" vertical="top" wrapText="1"/>
    </xf>
    <xf numFmtId="43" fontId="5" fillId="0" borderId="1" xfId="1" applyFont="1" applyBorder="1"/>
    <xf numFmtId="4" fontId="5" fillId="0" borderId="1" xfId="0" applyNumberFormat="1" applyFont="1" applyBorder="1" applyAlignment="1">
      <alignment horizontal="center"/>
    </xf>
    <xf numFmtId="0" fontId="5" fillId="0" borderId="0" xfId="0" applyFont="1" applyAlignment="1">
      <alignment vertical="top" wrapText="1"/>
    </xf>
    <xf numFmtId="0" fontId="5" fillId="0" borderId="4" xfId="0" applyFont="1" applyBorder="1" applyAlignment="1">
      <alignment horizontal="left" vertical="top" wrapText="1"/>
    </xf>
    <xf numFmtId="43" fontId="5" fillId="0" borderId="4" xfId="1" applyFont="1" applyBorder="1" applyAlignment="1">
      <alignment vertical="top"/>
    </xf>
    <xf numFmtId="4" fontId="5" fillId="0" borderId="4" xfId="0" applyNumberFormat="1" applyFont="1" applyBorder="1" applyAlignment="1">
      <alignment horizontal="center" vertical="top"/>
    </xf>
    <xf numFmtId="43" fontId="5" fillId="0" borderId="4" xfId="1" applyFont="1" applyBorder="1"/>
    <xf numFmtId="4" fontId="5" fillId="0" borderId="4" xfId="0" applyNumberFormat="1" applyFont="1" applyBorder="1" applyAlignment="1">
      <alignment horizontal="center"/>
    </xf>
    <xf numFmtId="43" fontId="5" fillId="0" borderId="0" xfId="0" applyNumberFormat="1" applyFont="1"/>
    <xf numFmtId="0" fontId="6" fillId="0" borderId="9" xfId="0" applyFont="1" applyBorder="1" applyAlignment="1">
      <alignment horizontal="center" vertical="top" wrapText="1"/>
    </xf>
    <xf numFmtId="43" fontId="6" fillId="0" borderId="9" xfId="1" applyFont="1" applyBorder="1"/>
    <xf numFmtId="4" fontId="6" fillId="0" borderId="9" xfId="0" applyNumberFormat="1" applyFont="1" applyBorder="1" applyAlignment="1">
      <alignment horizontal="center"/>
    </xf>
    <xf numFmtId="0" fontId="6" fillId="0" borderId="0" xfId="0" applyFont="1" applyAlignment="1">
      <alignment horizontal="center" vertical="top" wrapText="1"/>
    </xf>
    <xf numFmtId="43" fontId="6" fillId="0" borderId="0" xfId="1" applyFont="1" applyBorder="1"/>
    <xf numFmtId="4" fontId="6" fillId="0" borderId="0" xfId="0" applyNumberFormat="1" applyFont="1" applyAlignment="1">
      <alignment horizontal="center"/>
    </xf>
    <xf numFmtId="43" fontId="5" fillId="0" borderId="0" xfId="1" applyFont="1"/>
    <xf numFmtId="0" fontId="5" fillId="0" borderId="0" xfId="0" applyFont="1" applyAlignment="1">
      <alignment horizontal="center"/>
    </xf>
    <xf numFmtId="0" fontId="6" fillId="0" borderId="6" xfId="0" applyFont="1" applyBorder="1" applyAlignment="1">
      <alignment horizontal="center"/>
    </xf>
    <xf numFmtId="0" fontId="5" fillId="0" borderId="1" xfId="0" applyFont="1" applyBorder="1" applyAlignment="1">
      <alignment horizontal="left" vertical="center" wrapText="1"/>
    </xf>
    <xf numFmtId="43" fontId="5" fillId="0" borderId="1" xfId="0" applyNumberFormat="1" applyFont="1" applyBorder="1" applyAlignment="1">
      <alignment vertical="center"/>
    </xf>
    <xf numFmtId="43" fontId="5" fillId="0" borderId="1" xfId="1" applyFont="1" applyBorder="1" applyAlignment="1">
      <alignment vertical="center"/>
    </xf>
    <xf numFmtId="4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43" fontId="5" fillId="0" borderId="4" xfId="1" applyFont="1" applyBorder="1" applyAlignment="1">
      <alignment vertical="center"/>
    </xf>
    <xf numFmtId="43" fontId="6" fillId="0" borderId="0" xfId="1" applyFont="1" applyBorder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10" fillId="0" borderId="0" xfId="0" applyFont="1"/>
    <xf numFmtId="0" fontId="12" fillId="0" borderId="4" xfId="0" applyFont="1" applyBorder="1" applyAlignment="1">
      <alignment horizontal="center"/>
    </xf>
    <xf numFmtId="43" fontId="13" fillId="0" borderId="0" xfId="0" applyNumberFormat="1" applyFont="1"/>
    <xf numFmtId="43" fontId="4" fillId="0" borderId="1" xfId="1" applyFont="1" applyBorder="1" applyAlignment="1">
      <alignment vertical="center"/>
    </xf>
    <xf numFmtId="43" fontId="4" fillId="0" borderId="4" xfId="1" applyFont="1" applyBorder="1" applyAlignment="1">
      <alignment vertical="center"/>
    </xf>
    <xf numFmtId="0" fontId="14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0" xfId="0" applyFont="1"/>
    <xf numFmtId="0" fontId="15" fillId="0" borderId="0" xfId="0" applyFont="1" applyAlignment="1">
      <alignment horizontal="center" vertical="center" wrapText="1"/>
    </xf>
    <xf numFmtId="43" fontId="4" fillId="0" borderId="0" xfId="1" applyFont="1"/>
    <xf numFmtId="0" fontId="15" fillId="0" borderId="0" xfId="0" applyFont="1"/>
    <xf numFmtId="43" fontId="13" fillId="0" borderId="11" xfId="0" applyNumberFormat="1" applyFont="1" applyBorder="1"/>
    <xf numFmtId="0" fontId="13" fillId="0" borderId="0" xfId="0" applyFont="1"/>
    <xf numFmtId="0" fontId="13" fillId="0" borderId="9" xfId="0" applyFont="1" applyBorder="1" applyAlignment="1">
      <alignment horizontal="center" vertical="center" wrapText="1"/>
    </xf>
    <xf numFmtId="43" fontId="13" fillId="0" borderId="9" xfId="1" applyFont="1" applyBorder="1" applyAlignment="1">
      <alignment vertical="center"/>
    </xf>
    <xf numFmtId="4" fontId="13" fillId="0" borderId="9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 wrapText="1"/>
    </xf>
    <xf numFmtId="43" fontId="16" fillId="0" borderId="0" xfId="0" applyNumberFormat="1" applyFont="1"/>
    <xf numFmtId="0" fontId="16" fillId="0" borderId="0" xfId="0" applyFont="1"/>
    <xf numFmtId="43" fontId="6" fillId="0" borderId="11" xfId="1" applyFont="1" applyBorder="1"/>
    <xf numFmtId="0" fontId="8" fillId="0" borderId="0" xfId="0" applyFont="1"/>
    <xf numFmtId="43" fontId="5" fillId="0" borderId="12" xfId="0" applyNumberFormat="1" applyFont="1" applyBorder="1"/>
    <xf numFmtId="43" fontId="6" fillId="0" borderId="11" xfId="0" applyNumberFormat="1" applyFont="1" applyBorder="1"/>
    <xf numFmtId="0" fontId="17" fillId="0" borderId="0" xfId="0" applyFont="1"/>
    <xf numFmtId="0" fontId="19" fillId="0" borderId="3" xfId="0" applyFont="1" applyBorder="1" applyAlignment="1">
      <alignment vertical="top" wrapText="1"/>
    </xf>
    <xf numFmtId="43" fontId="5" fillId="0" borderId="4" xfId="0" applyNumberFormat="1" applyFont="1" applyBorder="1" applyAlignment="1">
      <alignment vertical="center"/>
    </xf>
    <xf numFmtId="0" fontId="18" fillId="0" borderId="2" xfId="0" applyFont="1" applyBorder="1" applyAlignment="1">
      <alignment horizontal="left" vertical="top" wrapText="1"/>
    </xf>
    <xf numFmtId="0" fontId="20" fillId="0" borderId="4" xfId="0" applyFont="1" applyBorder="1" applyAlignment="1">
      <alignment vertical="top" wrapText="1"/>
    </xf>
    <xf numFmtId="43" fontId="10" fillId="0" borderId="12" xfId="0" applyNumberFormat="1" applyFont="1" applyBorder="1"/>
    <xf numFmtId="0" fontId="15" fillId="0" borderId="2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4" fontId="16" fillId="0" borderId="4" xfId="0" applyNumberFormat="1" applyFont="1" applyBorder="1" applyAlignment="1">
      <alignment horizontal="center" vertical="center"/>
    </xf>
    <xf numFmtId="43" fontId="4" fillId="2" borderId="0" xfId="1" applyFont="1" applyFill="1"/>
    <xf numFmtId="43" fontId="10" fillId="0" borderId="0" xfId="0" applyNumberFormat="1" applyFont="1"/>
    <xf numFmtId="43" fontId="14" fillId="0" borderId="0" xfId="0" applyNumberFormat="1" applyFont="1"/>
    <xf numFmtId="0" fontId="14" fillId="0" borderId="0" xfId="0" applyFont="1"/>
    <xf numFmtId="43" fontId="14" fillId="0" borderId="0" xfId="1" applyFont="1"/>
    <xf numFmtId="0" fontId="22" fillId="0" borderId="0" xfId="0" applyFont="1"/>
    <xf numFmtId="43" fontId="22" fillId="0" borderId="0" xfId="1" applyFont="1"/>
    <xf numFmtId="0" fontId="23" fillId="0" borderId="0" xfId="0" applyFont="1"/>
    <xf numFmtId="43" fontId="23" fillId="0" borderId="0" xfId="1" applyFont="1"/>
    <xf numFmtId="0" fontId="12" fillId="0" borderId="0" xfId="0" applyFont="1"/>
    <xf numFmtId="43" fontId="12" fillId="0" borderId="0" xfId="0" applyNumberFormat="1" applyFont="1"/>
    <xf numFmtId="43" fontId="13" fillId="2" borderId="11" xfId="0" applyNumberFormat="1" applyFont="1" applyFill="1" applyBorder="1"/>
    <xf numFmtId="43" fontId="12" fillId="2" borderId="11" xfId="1" applyFont="1" applyFill="1" applyBorder="1"/>
    <xf numFmtId="43" fontId="16" fillId="0" borderId="0" xfId="0" quotePrefix="1" applyNumberFormat="1" applyFont="1"/>
    <xf numFmtId="43" fontId="24" fillId="0" borderId="0" xfId="0" applyNumberFormat="1" applyFont="1"/>
    <xf numFmtId="43" fontId="24" fillId="2" borderId="11" xfId="0" applyNumberFormat="1" applyFont="1" applyFill="1" applyBorder="1"/>
    <xf numFmtId="4" fontId="25" fillId="0" borderId="0" xfId="0" applyNumberFormat="1" applyFont="1"/>
    <xf numFmtId="4" fontId="4" fillId="0" borderId="4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vertical="top" wrapText="1"/>
    </xf>
    <xf numFmtId="43" fontId="6" fillId="2" borderId="11" xfId="0" applyNumberFormat="1" applyFont="1" applyFill="1" applyBorder="1"/>
    <xf numFmtId="43" fontId="12" fillId="0" borderId="0" xfId="1" applyFont="1"/>
    <xf numFmtId="43" fontId="5" fillId="0" borderId="0" xfId="0" quotePrefix="1" applyNumberFormat="1" applyFont="1"/>
    <xf numFmtId="0" fontId="14" fillId="0" borderId="4" xfId="0" applyFont="1" applyBorder="1" applyAlignment="1">
      <alignment vertical="top" wrapText="1"/>
    </xf>
    <xf numFmtId="43" fontId="26" fillId="0" borderId="0" xfId="0" applyNumberFormat="1" applyFont="1"/>
    <xf numFmtId="43" fontId="26" fillId="2" borderId="11" xfId="0" applyNumberFormat="1" applyFont="1" applyFill="1" applyBorder="1"/>
    <xf numFmtId="43" fontId="5" fillId="2" borderId="0" xfId="1" applyFont="1" applyFill="1"/>
    <xf numFmtId="43" fontId="13" fillId="2" borderId="11" xfId="1" applyFont="1" applyFill="1" applyBorder="1"/>
    <xf numFmtId="0" fontId="14" fillId="0" borderId="3" xfId="0" applyFont="1" applyBorder="1" applyAlignment="1">
      <alignment vertical="top" wrapText="1"/>
    </xf>
    <xf numFmtId="0" fontId="14" fillId="0" borderId="13" xfId="0" applyFont="1" applyBorder="1" applyAlignment="1">
      <alignment vertical="top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3" fontId="5" fillId="0" borderId="4" xfId="1" applyFont="1" applyBorder="1" applyAlignment="1">
      <alignment horizontal="right" vertical="center"/>
    </xf>
    <xf numFmtId="43" fontId="6" fillId="0" borderId="9" xfId="1" applyFont="1" applyBorder="1" applyAlignment="1">
      <alignment horizontal="right" vertical="center"/>
    </xf>
    <xf numFmtId="43" fontId="5" fillId="0" borderId="4" xfId="1" applyFont="1" applyBorder="1" applyAlignment="1">
      <alignment horizontal="right"/>
    </xf>
    <xf numFmtId="43" fontId="5" fillId="0" borderId="9" xfId="1" applyFont="1" applyBorder="1" applyAlignment="1">
      <alignment horizontal="right" vertical="center"/>
    </xf>
    <xf numFmtId="0" fontId="28" fillId="0" borderId="0" xfId="0" applyFont="1" applyAlignment="1">
      <alignment horizontal="right"/>
    </xf>
    <xf numFmtId="0" fontId="29" fillId="0" borderId="0" xfId="0" applyFont="1"/>
    <xf numFmtId="0" fontId="29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vertical="center" wrapText="1"/>
    </xf>
    <xf numFmtId="187" fontId="29" fillId="0" borderId="0" xfId="1" applyNumberFormat="1" applyFont="1" applyBorder="1" applyAlignment="1">
      <alignment vertical="center"/>
    </xf>
    <xf numFmtId="0" fontId="29" fillId="0" borderId="0" xfId="0" applyFont="1" applyAlignment="1">
      <alignment horizontal="center" vertical="top" wrapText="1"/>
    </xf>
    <xf numFmtId="43" fontId="29" fillId="0" borderId="0" xfId="1" applyFont="1" applyBorder="1"/>
    <xf numFmtId="4" fontId="29" fillId="0" borderId="0" xfId="0" applyNumberFormat="1" applyFont="1" applyAlignment="1">
      <alignment horizontal="center"/>
    </xf>
    <xf numFmtId="43" fontId="29" fillId="0" borderId="0" xfId="1" applyFont="1"/>
    <xf numFmtId="43" fontId="29" fillId="0" borderId="0" xfId="0" applyNumberFormat="1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29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10" fontId="29" fillId="0" borderId="0" xfId="1" applyNumberFormat="1" applyFont="1" applyBorder="1" applyAlignment="1">
      <alignment vertical="center"/>
    </xf>
    <xf numFmtId="0" fontId="34" fillId="0" borderId="5" xfId="0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/>
    </xf>
    <xf numFmtId="0" fontId="34" fillId="0" borderId="14" xfId="0" applyFont="1" applyBorder="1" applyAlignment="1">
      <alignment horizontal="center"/>
    </xf>
    <xf numFmtId="0" fontId="34" fillId="0" borderId="15" xfId="0" applyFont="1" applyBorder="1" applyAlignment="1">
      <alignment horizontal="center"/>
    </xf>
    <xf numFmtId="0" fontId="34" fillId="0" borderId="7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/>
    </xf>
    <xf numFmtId="0" fontId="34" fillId="0" borderId="16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34" fillId="0" borderId="17" xfId="0" applyFont="1" applyBorder="1" applyAlignment="1">
      <alignment horizontal="left" vertical="center"/>
    </xf>
    <xf numFmtId="43" fontId="34" fillId="0" borderId="3" xfId="1" applyFont="1" applyBorder="1" applyAlignment="1">
      <alignment horizontal="center"/>
    </xf>
    <xf numFmtId="0" fontId="34" fillId="0" borderId="20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left" vertical="center" wrapText="1"/>
    </xf>
    <xf numFmtId="0" fontId="34" fillId="0" borderId="25" xfId="0" applyFont="1" applyBorder="1" applyAlignment="1">
      <alignment horizontal="left" vertical="center" wrapText="1"/>
    </xf>
    <xf numFmtId="43" fontId="34" fillId="0" borderId="19" xfId="1" applyFont="1" applyBorder="1" applyAlignment="1">
      <alignment vertical="center"/>
    </xf>
    <xf numFmtId="43" fontId="34" fillId="0" borderId="19" xfId="1" applyFont="1" applyBorder="1" applyAlignment="1">
      <alignment horizontal="center"/>
    </xf>
    <xf numFmtId="0" fontId="34" fillId="0" borderId="24" xfId="0" applyFont="1" applyBorder="1" applyAlignment="1">
      <alignment horizontal="center" vertical="center" wrapText="1"/>
    </xf>
    <xf numFmtId="0" fontId="34" fillId="0" borderId="25" xfId="0" applyFont="1" applyBorder="1" applyAlignment="1">
      <alignment vertical="center" wrapText="1"/>
    </xf>
    <xf numFmtId="187" fontId="34" fillId="0" borderId="19" xfId="1" quotePrefix="1" applyNumberFormat="1" applyFont="1" applyBorder="1" applyAlignment="1">
      <alignment horizontal="right" vertical="center"/>
    </xf>
    <xf numFmtId="43" fontId="34" fillId="0" borderId="19" xfId="1" applyFont="1" applyBorder="1" applyAlignment="1">
      <alignment horizontal="center" vertical="center"/>
    </xf>
    <xf numFmtId="43" fontId="34" fillId="0" borderId="19" xfId="1" quotePrefix="1" applyFont="1" applyBorder="1" applyAlignment="1">
      <alignment horizontal="right" vertical="center"/>
    </xf>
    <xf numFmtId="0" fontId="34" fillId="0" borderId="16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18" xfId="0" applyFont="1" applyBorder="1" applyAlignment="1">
      <alignment vertical="center" wrapText="1"/>
    </xf>
    <xf numFmtId="43" fontId="34" fillId="0" borderId="3" xfId="1" applyFont="1" applyBorder="1" applyAlignment="1">
      <alignment vertical="center"/>
    </xf>
    <xf numFmtId="43" fontId="34" fillId="0" borderId="3" xfId="1" applyFont="1" applyBorder="1" applyAlignment="1">
      <alignment horizontal="right" vertical="center"/>
    </xf>
    <xf numFmtId="43" fontId="34" fillId="0" borderId="3" xfId="1" applyFont="1" applyBorder="1" applyAlignment="1">
      <alignment horizontal="center" vertical="center"/>
    </xf>
    <xf numFmtId="43" fontId="34" fillId="0" borderId="19" xfId="1" applyFont="1" applyBorder="1" applyAlignment="1">
      <alignment horizontal="right" vertical="center"/>
    </xf>
    <xf numFmtId="43" fontId="34" fillId="0" borderId="19" xfId="1" quotePrefix="1" applyFont="1" applyBorder="1" applyAlignment="1">
      <alignment horizontal="right"/>
    </xf>
    <xf numFmtId="10" fontId="34" fillId="0" borderId="19" xfId="1" applyNumberFormat="1" applyFont="1" applyBorder="1" applyAlignment="1">
      <alignment vertical="center"/>
    </xf>
    <xf numFmtId="0" fontId="34" fillId="0" borderId="7" xfId="0" applyFont="1" applyBorder="1" applyAlignment="1">
      <alignment horizontal="center" vertical="center" wrapText="1"/>
    </xf>
    <xf numFmtId="0" fontId="34" fillId="0" borderId="12" xfId="0" applyFont="1" applyBorder="1" applyAlignment="1">
      <alignment horizontal="left" vertical="center" wrapText="1"/>
    </xf>
    <xf numFmtId="0" fontId="34" fillId="0" borderId="8" xfId="0" applyFont="1" applyBorder="1" applyAlignment="1">
      <alignment horizontal="left" vertical="center" wrapText="1"/>
    </xf>
    <xf numFmtId="10" fontId="34" fillId="0" borderId="4" xfId="1" applyNumberFormat="1" applyFont="1" applyBorder="1" applyAlignment="1">
      <alignment vertical="center"/>
    </xf>
    <xf numFmtId="10" fontId="34" fillId="0" borderId="21" xfId="1" applyNumberFormat="1" applyFont="1" applyBorder="1" applyAlignment="1">
      <alignment vertical="center"/>
    </xf>
    <xf numFmtId="10" fontId="27" fillId="0" borderId="19" xfId="1" applyNumberFormat="1" applyFont="1" applyBorder="1" applyAlignment="1">
      <alignment vertical="center"/>
    </xf>
    <xf numFmtId="59" fontId="35" fillId="0" borderId="0" xfId="0" applyNumberFormat="1" applyFont="1"/>
    <xf numFmtId="0" fontId="27" fillId="0" borderId="0" xfId="0" applyFont="1" applyBorder="1" applyAlignment="1">
      <alignment horizontal="right" vertical="center" wrapText="1"/>
    </xf>
    <xf numFmtId="187" fontId="35" fillId="0" borderId="0" xfId="1" applyNumberFormat="1" applyFont="1" applyBorder="1" applyAlignment="1">
      <alignment vertical="center"/>
    </xf>
    <xf numFmtId="187" fontId="27" fillId="0" borderId="0" xfId="1" applyNumberFormat="1" applyFont="1" applyBorder="1" applyAlignment="1">
      <alignment vertical="center"/>
    </xf>
    <xf numFmtId="187" fontId="36" fillId="0" borderId="0" xfId="1" applyNumberFormat="1" applyFont="1" applyBorder="1" applyAlignment="1">
      <alignment vertical="center"/>
    </xf>
    <xf numFmtId="0" fontId="35" fillId="0" borderId="0" xfId="0" applyFont="1"/>
    <xf numFmtId="187" fontId="27" fillId="0" borderId="0" xfId="1" applyNumberFormat="1" applyFont="1" applyBorder="1" applyAlignment="1">
      <alignment horizontal="right" vertical="center"/>
    </xf>
    <xf numFmtId="0" fontId="34" fillId="0" borderId="0" xfId="0" applyFont="1" applyAlignment="1">
      <alignment horizontal="left"/>
    </xf>
    <xf numFmtId="0" fontId="34" fillId="0" borderId="0" xfId="0" applyFont="1"/>
    <xf numFmtId="0" fontId="34" fillId="0" borderId="0" xfId="0" applyFont="1" applyAlignment="1">
      <alignment horizontal="center"/>
    </xf>
    <xf numFmtId="0" fontId="37" fillId="0" borderId="0" xfId="0" applyFont="1"/>
    <xf numFmtId="0" fontId="34" fillId="0" borderId="0" xfId="0" applyFont="1" applyAlignment="1">
      <alignment horizontal="center"/>
    </xf>
    <xf numFmtId="0" fontId="34" fillId="0" borderId="23" xfId="0" applyFont="1" applyBorder="1" applyAlignment="1">
      <alignment horizontal="center"/>
    </xf>
    <xf numFmtId="0" fontId="34" fillId="0" borderId="12" xfId="0" applyFont="1" applyBorder="1" applyAlignment="1">
      <alignment horizontal="left" vertical="center"/>
    </xf>
    <xf numFmtId="0" fontId="34" fillId="0" borderId="24" xfId="0" quotePrefix="1" applyFont="1" applyBorder="1" applyAlignment="1">
      <alignment horizontal="right" vertical="center" wrapText="1"/>
    </xf>
    <xf numFmtId="0" fontId="34" fillId="0" borderId="24" xfId="0" applyFont="1" applyBorder="1" applyAlignment="1">
      <alignment horizontal="left" vertical="center"/>
    </xf>
    <xf numFmtId="0" fontId="34" fillId="0" borderId="22" xfId="0" applyFont="1" applyBorder="1" applyAlignment="1">
      <alignment horizontal="center" vertical="center" wrapText="1"/>
    </xf>
    <xf numFmtId="0" fontId="34" fillId="0" borderId="26" xfId="0" applyFont="1" applyBorder="1" applyAlignment="1">
      <alignment vertical="center" wrapText="1"/>
    </xf>
    <xf numFmtId="43" fontId="34" fillId="0" borderId="21" xfId="1" applyFont="1" applyBorder="1" applyAlignment="1">
      <alignment vertical="center"/>
    </xf>
    <xf numFmtId="0" fontId="34" fillId="0" borderId="14" xfId="0" applyFont="1" applyBorder="1" applyAlignment="1">
      <alignment horizontal="center" vertical="center" wrapText="1"/>
    </xf>
    <xf numFmtId="0" fontId="34" fillId="0" borderId="23" xfId="0" applyFont="1" applyBorder="1" applyAlignment="1">
      <alignment horizontal="left" vertical="center" wrapText="1"/>
    </xf>
    <xf numFmtId="0" fontId="34" fillId="0" borderId="15" xfId="0" applyFont="1" applyBorder="1" applyAlignment="1">
      <alignment vertical="center" wrapText="1"/>
    </xf>
    <xf numFmtId="43" fontId="34" fillId="0" borderId="1" xfId="1" applyFont="1" applyBorder="1" applyAlignment="1">
      <alignment vertical="center"/>
    </xf>
    <xf numFmtId="0" fontId="34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left" vertical="center" wrapText="1"/>
    </xf>
    <xf numFmtId="10" fontId="34" fillId="0" borderId="0" xfId="1" applyNumberFormat="1" applyFont="1" applyBorder="1" applyAlignment="1">
      <alignment vertical="center"/>
    </xf>
    <xf numFmtId="187" fontId="34" fillId="0" borderId="0" xfId="1" applyNumberFormat="1" applyFont="1" applyBorder="1" applyAlignment="1">
      <alignment vertical="center"/>
    </xf>
    <xf numFmtId="0" fontId="34" fillId="0" borderId="0" xfId="0" applyFont="1" applyAlignment="1">
      <alignment horizontal="left" vertical="center" wrapText="1"/>
    </xf>
    <xf numFmtId="0" fontId="34" fillId="0" borderId="0" xfId="0" applyFont="1" applyAlignment="1">
      <alignment horizontal="center" vertical="top" wrapText="1"/>
    </xf>
    <xf numFmtId="0" fontId="34" fillId="0" borderId="0" xfId="0" applyFont="1" applyAlignment="1">
      <alignment horizontal="left" vertical="top" wrapText="1"/>
    </xf>
    <xf numFmtId="43" fontId="34" fillId="0" borderId="0" xfId="1" applyFont="1" applyBorder="1"/>
    <xf numFmtId="4" fontId="34" fillId="0" borderId="0" xfId="0" applyNumberFormat="1" applyFont="1" applyAlignment="1">
      <alignment horizontal="center"/>
    </xf>
    <xf numFmtId="43" fontId="34" fillId="0" borderId="0" xfId="1" applyFont="1"/>
    <xf numFmtId="43" fontId="34" fillId="0" borderId="0" xfId="0" applyNumberFormat="1" applyFont="1"/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7724</xdr:colOff>
      <xdr:row>112</xdr:row>
      <xdr:rowOff>121276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DBF65DDA-7D79-B5E3-63E1-56AFAEF63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09524" cy="203904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610;&#3633;&#3609;&#3607;&#3638;&#3585;&#3605;&#3656;&#3634;&#3591;&#3654;\&#3591;&#3610;&#3611;&#3619;&#3632;&#3617;&#3634;&#3603;\&#3605;&#3633;&#3623;&#3594;&#3637;&#3657;&#3623;&#3633;&#3604;\&#3605;&#3633;&#3623;&#3594;&#3637;&#3657;&#3623;&#3633;&#3604;%2065\&#3648;&#3591;&#3636;&#3609;&#3648;&#3627;&#3621;&#3639;&#3629;&#3592;&#3656;&#3634;&#3618;-&#3618;&#3585;&#3648;&#3621;&#3636;&#3585;%20-%20&#3648;&#3614;&#3639;&#3656;&#3629;&#3588;&#3636;&#3604;&#3605;&#3633;&#3623;&#3594;&#3637;&#3657;&#3623;&#3633;&#3604;%20K.&#3585;&#3640;&#3657;&#359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610;&#3633;&#3609;&#3607;&#3638;&#3585;&#3605;&#3656;&#3634;&#3591;&#3654;\&#3591;&#3610;&#3611;&#3619;&#3632;&#3617;&#3634;&#3603;\&#3626;&#3591;&#3617;.1%20&#3626;&#3591;&#3617;.2%20&#3649;&#3612;&#3609;&#3650;&#3629;&#3607;&#3637;%20&#3650;&#3588;&#3619;&#3591;&#3631;&#3605;&#3656;&#3634;&#3591;&#3654;\&#3626;&#3591;&#3617;.1-2%20(&#3626;&#3609;&#3586;.&#3588;&#3621;&#3629;&#3591;&#3626;&#3634;&#3617;&#3623;&#3634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คลองสามวา"/>
      <sheetName val="Sheet1"/>
    </sheetNames>
    <sheetDataSet>
      <sheetData sheetId="0">
        <row r="95">
          <cell r="H95">
            <v>1599869.58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งม.1 (แยกเดือน)"/>
      <sheetName val="สงม.1 (แยกฝ่าย)"/>
      <sheetName val="สงม.1"/>
      <sheetName val="สงม. 2 ปกครอง"/>
      <sheetName val="สงม. 2 (ทะเบียน)"/>
      <sheetName val="สงม. 2 (คลัง)"/>
      <sheetName val="สงม. 2 (รายได้)"/>
      <sheetName val="สงม. 2 (รักษาฯ)"/>
      <sheetName val="สงม. 2 (เทศกิจ)"/>
      <sheetName val="สงม. 2(โยธา)"/>
      <sheetName val="สงม. 2 (สวล.)"/>
      <sheetName val="สงม. 2 (พัฒนาชุมชน)"/>
      <sheetName val="สงม. 2 (ศึกษา)"/>
      <sheetName val="แนบท้ายแบบ 1"/>
      <sheetName val="สงม.1คลัง"/>
      <sheetName val="สงม. 2งบประมาณ"/>
      <sheetName val="form. สงม. 2 (โยธา)"/>
      <sheetName val="form.สงม. 2 (สวล.)"/>
      <sheetName val="ศึกษา"/>
      <sheetName val="สงม. 2(พัฒนาฯ)"/>
    </sheetNames>
    <sheetDataSet>
      <sheetData sheetId="0">
        <row r="153">
          <cell r="D153">
            <v>8917780</v>
          </cell>
          <cell r="E153">
            <v>8917780</v>
          </cell>
          <cell r="F153">
            <v>10200657</v>
          </cell>
          <cell r="G153">
            <v>8917780</v>
          </cell>
          <cell r="H153">
            <v>7259162.75</v>
          </cell>
          <cell r="I153">
            <v>7259162.75</v>
          </cell>
        </row>
        <row r="154">
          <cell r="D154">
            <v>4982700</v>
          </cell>
          <cell r="E154">
            <v>4982700</v>
          </cell>
          <cell r="F154">
            <v>4982700</v>
          </cell>
          <cell r="G154">
            <v>4982700</v>
          </cell>
          <cell r="H154">
            <v>4982700</v>
          </cell>
          <cell r="I154">
            <v>4982700</v>
          </cell>
        </row>
        <row r="155">
          <cell r="D155">
            <v>1264359.5</v>
          </cell>
          <cell r="E155">
            <v>1264359.5</v>
          </cell>
          <cell r="F155">
            <v>1264359.5</v>
          </cell>
          <cell r="G155">
            <v>1264359.5</v>
          </cell>
          <cell r="H155">
            <v>3465758.25</v>
          </cell>
          <cell r="I155">
            <v>3465758.25</v>
          </cell>
        </row>
        <row r="158">
          <cell r="D158">
            <v>2064842.5</v>
          </cell>
          <cell r="E158">
            <v>2064842.5</v>
          </cell>
          <cell r="F158">
            <v>2064842.5</v>
          </cell>
          <cell r="G158">
            <v>2064842.5</v>
          </cell>
          <cell r="H158">
            <v>3729117.5</v>
          </cell>
          <cell r="I158">
            <v>3729117.5</v>
          </cell>
        </row>
      </sheetData>
      <sheetData sheetId="1">
        <row r="15">
          <cell r="C15">
            <v>118000</v>
          </cell>
        </row>
      </sheetData>
      <sheetData sheetId="2">
        <row r="10">
          <cell r="C10">
            <v>9940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ธีม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DB9C8-09C5-4F4D-BBA9-9A841E31EA2A}">
  <sheetPr>
    <tabColor rgb="FF00B0F0"/>
  </sheetPr>
  <dimension ref="A1"/>
  <sheetViews>
    <sheetView topLeftCell="A41" zoomScaleNormal="100" workbookViewId="0">
      <selection activeCell="F115" sqref="F115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057C8-D24C-4B44-B7BC-78E63685AE33}">
  <sheetPr>
    <tabColor rgb="FF0070C0"/>
  </sheetPr>
  <dimension ref="A1:T51"/>
  <sheetViews>
    <sheetView workbookViewId="0">
      <selection activeCell="E16" sqref="E16"/>
    </sheetView>
  </sheetViews>
  <sheetFormatPr defaultColWidth="9" defaultRowHeight="24" x14ac:dyDescent="0.55000000000000004"/>
  <cols>
    <col min="1" max="1" width="2" style="44" customWidth="1"/>
    <col min="2" max="2" width="25.75" style="44" customWidth="1"/>
    <col min="3" max="7" width="16.125" style="44" customWidth="1"/>
    <col min="8" max="9" width="11" style="44" customWidth="1"/>
    <col min="10" max="10" width="37" style="44" customWidth="1"/>
    <col min="11" max="11" width="1.625" style="44" customWidth="1"/>
    <col min="12" max="12" width="15.75" style="44" hidden="1" customWidth="1"/>
    <col min="13" max="13" width="14.375" style="44" hidden="1" customWidth="1"/>
    <col min="14" max="14" width="13.25" style="85" hidden="1" customWidth="1"/>
    <col min="15" max="15" width="14.375" style="44" hidden="1" customWidth="1"/>
    <col min="16" max="19" width="0" style="44" hidden="1" customWidth="1"/>
    <col min="20" max="20" width="13.375" style="44" bestFit="1" customWidth="1"/>
    <col min="21" max="16384" width="9" style="44"/>
  </cols>
  <sheetData>
    <row r="1" spans="1:17" x14ac:dyDescent="0.55000000000000004">
      <c r="A1" s="35" t="s">
        <v>0</v>
      </c>
    </row>
    <row r="2" spans="1:17" x14ac:dyDescent="0.55000000000000004">
      <c r="A2" s="35" t="s">
        <v>1</v>
      </c>
      <c r="J2" s="45"/>
    </row>
    <row r="3" spans="1:17" x14ac:dyDescent="0.55000000000000004">
      <c r="B3" s="163" t="s">
        <v>36</v>
      </c>
      <c r="C3" s="46" t="s">
        <v>3</v>
      </c>
      <c r="D3" s="107" t="s">
        <v>3</v>
      </c>
      <c r="E3" s="166" t="s">
        <v>98</v>
      </c>
      <c r="F3" s="167"/>
      <c r="G3" s="167"/>
      <c r="H3" s="168"/>
      <c r="I3" s="68" t="s">
        <v>9</v>
      </c>
      <c r="J3" s="169" t="s">
        <v>11</v>
      </c>
      <c r="K3" s="47"/>
      <c r="L3" s="44" t="s">
        <v>49</v>
      </c>
      <c r="M3" s="66">
        <f>2812000+225000+2102300+66900+7758463</f>
        <v>12964663</v>
      </c>
    </row>
    <row r="4" spans="1:17" x14ac:dyDescent="0.55000000000000004">
      <c r="B4" s="164"/>
      <c r="C4" s="48" t="s">
        <v>4</v>
      </c>
      <c r="D4" s="108" t="s">
        <v>99</v>
      </c>
      <c r="E4" s="46" t="s">
        <v>39</v>
      </c>
      <c r="F4" s="107" t="s">
        <v>39</v>
      </c>
      <c r="G4" s="46" t="s">
        <v>38</v>
      </c>
      <c r="H4" s="46" t="s">
        <v>9</v>
      </c>
      <c r="I4" s="48" t="s">
        <v>40</v>
      </c>
      <c r="J4" s="170"/>
      <c r="K4" s="47"/>
      <c r="L4" s="75"/>
      <c r="M4" s="76">
        <f>M3/12</f>
        <v>1080388.5833333333</v>
      </c>
      <c r="N4" s="86"/>
      <c r="O4" s="47"/>
      <c r="P4" s="47"/>
      <c r="Q4" s="47"/>
    </row>
    <row r="5" spans="1:17" x14ac:dyDescent="0.55000000000000004">
      <c r="B5" s="165"/>
      <c r="C5" s="49" t="s">
        <v>57</v>
      </c>
      <c r="D5" s="109" t="s">
        <v>57</v>
      </c>
      <c r="E5" s="49" t="s">
        <v>57</v>
      </c>
      <c r="F5" s="110" t="s">
        <v>100</v>
      </c>
      <c r="G5" s="49" t="s">
        <v>57</v>
      </c>
      <c r="H5" s="49" t="s">
        <v>40</v>
      </c>
      <c r="I5" s="79" t="s">
        <v>56</v>
      </c>
      <c r="J5" s="171"/>
      <c r="K5" s="47"/>
      <c r="L5" s="47"/>
      <c r="M5" s="47"/>
      <c r="N5" s="85" t="s">
        <v>64</v>
      </c>
      <c r="O5" s="47"/>
      <c r="P5" s="47"/>
      <c r="Q5" s="47"/>
    </row>
    <row r="6" spans="1:17" ht="27.95" customHeight="1" x14ac:dyDescent="0.55000000000000004">
      <c r="B6" s="73" t="s">
        <v>44</v>
      </c>
      <c r="C6" s="74">
        <f>77882029+8212669</f>
        <v>86094698</v>
      </c>
      <c r="D6" s="74">
        <f>C6-G39</f>
        <v>84670463.670000002</v>
      </c>
      <c r="E6" s="103">
        <f>C6</f>
        <v>86094698</v>
      </c>
      <c r="F6" s="103">
        <f>E6-G39</f>
        <v>84670463.670000002</v>
      </c>
      <c r="G6" s="74">
        <f>75012765.62+8191175.33</f>
        <v>83203940.950000003</v>
      </c>
      <c r="H6" s="72">
        <f t="shared" ref="H6:H12" si="0">G6*100/F6</f>
        <v>98.267964226916575</v>
      </c>
      <c r="I6" s="72">
        <f>G6*100/D6</f>
        <v>98.267964226916575</v>
      </c>
      <c r="J6" s="104"/>
      <c r="K6" s="53"/>
      <c r="L6" s="51">
        <f>24715945.49-24912136.79</f>
        <v>-196191.30000000075</v>
      </c>
      <c r="M6" s="44" t="str">
        <f>B6</f>
        <v xml:space="preserve"> งบดำเนินงาน</v>
      </c>
      <c r="N6" s="87">
        <f>1536317.33-112083</f>
        <v>1424234.33</v>
      </c>
    </row>
    <row r="7" spans="1:17" ht="27.95" customHeight="1" x14ac:dyDescent="0.55000000000000004">
      <c r="B7" s="73" t="s">
        <v>45</v>
      </c>
      <c r="C7" s="74">
        <f>820090+9701000</f>
        <v>10521090</v>
      </c>
      <c r="D7" s="74">
        <f t="shared" ref="D7:D9" si="1">C7</f>
        <v>10521090</v>
      </c>
      <c r="E7" s="70">
        <f t="shared" ref="E7:E9" si="2">C7</f>
        <v>10521090</v>
      </c>
      <c r="F7" s="103">
        <f t="shared" ref="F7" si="3">E7</f>
        <v>10521090</v>
      </c>
      <c r="G7" s="74">
        <f>820090+1243990</f>
        <v>2064080</v>
      </c>
      <c r="H7" s="72">
        <f t="shared" si="0"/>
        <v>19.61849960412847</v>
      </c>
      <c r="I7" s="72">
        <f>G7*100/D7</f>
        <v>19.61849960412847</v>
      </c>
      <c r="J7" s="102" t="s">
        <v>95</v>
      </c>
      <c r="K7" s="53"/>
      <c r="M7" s="44" t="str">
        <f t="shared" ref="M7:M8" si="4">B7</f>
        <v xml:space="preserve"> งบลงทุน</v>
      </c>
      <c r="N7" s="87">
        <v>4739560</v>
      </c>
    </row>
    <row r="8" spans="1:17" ht="27.95" customHeight="1" x14ac:dyDescent="0.55000000000000004">
      <c r="B8" s="73" t="s">
        <v>46</v>
      </c>
      <c r="C8" s="74">
        <f>48916603</f>
        <v>48916603</v>
      </c>
      <c r="D8" s="74">
        <f>C8-G41</f>
        <v>45776906</v>
      </c>
      <c r="E8" s="70">
        <f t="shared" si="2"/>
        <v>48916603</v>
      </c>
      <c r="F8" s="103">
        <f>E8-G41</f>
        <v>45776906</v>
      </c>
      <c r="G8" s="74">
        <f>43666973.5</f>
        <v>43666973.5</v>
      </c>
      <c r="H8" s="72">
        <f t="shared" si="0"/>
        <v>95.390836375005335</v>
      </c>
      <c r="I8" s="72">
        <f>G8*100/D8</f>
        <v>95.390836375005335</v>
      </c>
      <c r="J8" s="102" t="s">
        <v>96</v>
      </c>
      <c r="K8" s="53"/>
      <c r="M8" s="44" t="str">
        <f t="shared" si="4"/>
        <v xml:space="preserve"> งบเงินอุดหนุน</v>
      </c>
      <c r="N8" s="87">
        <v>3139697</v>
      </c>
    </row>
    <row r="9" spans="1:17" ht="27.95" customHeight="1" thickBot="1" x14ac:dyDescent="0.6">
      <c r="B9" s="73" t="s">
        <v>47</v>
      </c>
      <c r="C9" s="74">
        <v>54312913</v>
      </c>
      <c r="D9" s="74">
        <f t="shared" si="1"/>
        <v>54312913</v>
      </c>
      <c r="E9" s="70">
        <f t="shared" si="2"/>
        <v>54312913</v>
      </c>
      <c r="F9" s="103">
        <f>E9</f>
        <v>54312913</v>
      </c>
      <c r="G9" s="74">
        <f>50853607.87+(498290+499000)</f>
        <v>51850897.869999997</v>
      </c>
      <c r="H9" s="72">
        <f t="shared" si="0"/>
        <v>95.466980145218869</v>
      </c>
      <c r="I9" s="111">
        <f>G9*100/D9</f>
        <v>95.466980145218869</v>
      </c>
      <c r="J9" s="102" t="s">
        <v>97</v>
      </c>
      <c r="K9" s="53"/>
      <c r="L9" s="80" t="s">
        <v>58</v>
      </c>
      <c r="N9" s="89">
        <f>SUM(N6:N8)</f>
        <v>9303491.3300000001</v>
      </c>
    </row>
    <row r="10" spans="1:17" s="90" customFormat="1" ht="30.75" customHeight="1" thickTop="1" thickBot="1" x14ac:dyDescent="0.6">
      <c r="B10" s="91" t="s">
        <v>12</v>
      </c>
      <c r="C10" s="92">
        <f>SUM(C6:C9)</f>
        <v>199845304</v>
      </c>
      <c r="D10" s="92">
        <f>SUM(D6:D9)</f>
        <v>195281372.67000002</v>
      </c>
      <c r="E10" s="92">
        <f>SUM(E6:E9)</f>
        <v>199845304</v>
      </c>
      <c r="F10" s="92">
        <f>SUM(F6:F9)</f>
        <v>195281372.67000002</v>
      </c>
      <c r="G10" s="92">
        <f>SUM(G6:G9)</f>
        <v>180785892.31999999</v>
      </c>
      <c r="H10" s="93">
        <f t="shared" si="0"/>
        <v>92.577131063854466</v>
      </c>
      <c r="I10" s="93">
        <f>G10*100/D10</f>
        <v>92.577131063854466</v>
      </c>
      <c r="J10" s="102"/>
      <c r="K10" s="94"/>
      <c r="L10" s="80">
        <f>83366860+12964663+791830+9701000+59792400+63689289</f>
        <v>230306042</v>
      </c>
      <c r="M10" s="95">
        <f>C10-L10</f>
        <v>-30460738</v>
      </c>
      <c r="N10" s="95">
        <f>N9+112083+10900+10900</f>
        <v>9437374.3300000001</v>
      </c>
      <c r="O10" s="96"/>
      <c r="P10" s="96"/>
      <c r="Q10" s="96"/>
    </row>
    <row r="11" spans="1:17" ht="27.75" customHeight="1" thickTop="1" x14ac:dyDescent="0.55000000000000004">
      <c r="B11" s="73" t="s">
        <v>25</v>
      </c>
      <c r="C11" s="74">
        <f>3172380+836000+2051280+2013060</f>
        <v>8072720</v>
      </c>
      <c r="D11" s="74">
        <f>C11-G42</f>
        <v>7938837</v>
      </c>
      <c r="E11" s="74">
        <f>C11</f>
        <v>8072720</v>
      </c>
      <c r="F11" s="74">
        <f>E11-G42</f>
        <v>7938837</v>
      </c>
      <c r="G11" s="74">
        <f>2390367+598608+2051280+1298712</f>
        <v>6338967</v>
      </c>
      <c r="H11" s="72">
        <f t="shared" si="0"/>
        <v>79.847551977701514</v>
      </c>
      <c r="I11" s="72">
        <f>G11*100/C11</f>
        <v>78.523310606586136</v>
      </c>
      <c r="J11" s="102"/>
      <c r="K11" s="53"/>
      <c r="L11" s="66">
        <f>52674365.99+4197074.68+791290+1243990+27398923+32660960.87</f>
        <v>118966604.54000001</v>
      </c>
      <c r="M11" s="59">
        <f>G10-L11</f>
        <v>61819287.779999986</v>
      </c>
    </row>
    <row r="12" spans="1:17" s="35" customFormat="1" ht="30.75" customHeight="1" thickBot="1" x14ac:dyDescent="0.6">
      <c r="B12" s="36" t="s">
        <v>13</v>
      </c>
      <c r="C12" s="37">
        <f>+C10+C11</f>
        <v>207918024</v>
      </c>
      <c r="D12" s="37">
        <f>+D10+D11</f>
        <v>203220209.67000002</v>
      </c>
      <c r="E12" s="37">
        <f>+E10+E11</f>
        <v>207918024</v>
      </c>
      <c r="F12" s="37">
        <f>+F10+F11</f>
        <v>203220209.67000002</v>
      </c>
      <c r="G12" s="37">
        <f>+G10+G11</f>
        <v>187124859.31999999</v>
      </c>
      <c r="H12" s="38">
        <f t="shared" si="0"/>
        <v>92.079847582021245</v>
      </c>
      <c r="I12" s="93">
        <f>G12*100/D12</f>
        <v>92.079847582021245</v>
      </c>
      <c r="J12" s="105"/>
      <c r="K12" s="53"/>
      <c r="L12" s="41">
        <f>C12/2</f>
        <v>103959012</v>
      </c>
      <c r="N12" s="88"/>
    </row>
    <row r="13" spans="1:17" s="35" customFormat="1" ht="11.25" customHeight="1" thickTop="1" x14ac:dyDescent="0.55000000000000004">
      <c r="B13" s="63"/>
      <c r="C13" s="64"/>
      <c r="D13" s="64"/>
      <c r="E13" s="64"/>
      <c r="F13" s="64"/>
      <c r="G13" s="64"/>
      <c r="H13" s="65"/>
      <c r="I13" s="65"/>
      <c r="J13" s="53"/>
      <c r="K13" s="53"/>
      <c r="N13" s="88"/>
    </row>
    <row r="14" spans="1:17" x14ac:dyDescent="0.55000000000000004">
      <c r="A14" s="78" t="s">
        <v>53</v>
      </c>
      <c r="B14" s="78"/>
      <c r="L14" s="66">
        <f>3172380+836000+2051280+2013060</f>
        <v>8072720</v>
      </c>
      <c r="M14" s="66">
        <f>2390367+598608+2051280+1298712</f>
        <v>6338967</v>
      </c>
    </row>
    <row r="15" spans="1:17" x14ac:dyDescent="0.55000000000000004">
      <c r="A15" s="78"/>
      <c r="B15" s="78" t="s">
        <v>42</v>
      </c>
      <c r="L15" s="66"/>
    </row>
    <row r="16" spans="1:17" x14ac:dyDescent="0.55000000000000004">
      <c r="A16" s="78"/>
      <c r="B16" s="78" t="s">
        <v>43</v>
      </c>
      <c r="L16" s="66"/>
    </row>
    <row r="17" spans="1:20" ht="23.1" customHeight="1" x14ac:dyDescent="0.55000000000000004">
      <c r="A17" s="78" t="s">
        <v>16</v>
      </c>
      <c r="B17" s="78" t="s">
        <v>62</v>
      </c>
      <c r="L17" s="66">
        <f>406597759-142172600-40680100</f>
        <v>223745059</v>
      </c>
      <c r="N17" s="83" t="s">
        <v>65</v>
      </c>
    </row>
    <row r="18" spans="1:20" x14ac:dyDescent="0.55000000000000004">
      <c r="A18" s="78"/>
      <c r="B18" s="78" t="s">
        <v>92</v>
      </c>
      <c r="L18" s="66"/>
      <c r="N18" s="33"/>
      <c r="T18" s="66">
        <f>714348+782013+1424234.33+4739560+3139697+133883</f>
        <v>10933735.33</v>
      </c>
    </row>
    <row r="19" spans="1:20" ht="24" customHeight="1" x14ac:dyDescent="0.55000000000000004">
      <c r="B19" s="78" t="s">
        <v>94</v>
      </c>
      <c r="L19" s="66">
        <f>337318847.45-126227695.47-37834382.68</f>
        <v>173256769.29999998</v>
      </c>
      <c r="N19" s="84" t="s">
        <v>63</v>
      </c>
    </row>
    <row r="20" spans="1:20" x14ac:dyDescent="0.55000000000000004">
      <c r="H20" s="44" t="s">
        <v>17</v>
      </c>
    </row>
    <row r="21" spans="1:20" x14ac:dyDescent="0.55000000000000004">
      <c r="H21" s="77" t="s">
        <v>50</v>
      </c>
      <c r="I21" s="77"/>
    </row>
    <row r="22" spans="1:20" x14ac:dyDescent="0.55000000000000004">
      <c r="H22" s="77" t="s">
        <v>51</v>
      </c>
      <c r="I22" s="77"/>
      <c r="L22" s="44">
        <f>L19*100/L17</f>
        <v>77.43490295354411</v>
      </c>
    </row>
    <row r="23" spans="1:20" x14ac:dyDescent="0.55000000000000004">
      <c r="H23" s="77" t="s">
        <v>52</v>
      </c>
      <c r="I23" s="77"/>
    </row>
    <row r="24" spans="1:20" x14ac:dyDescent="0.55000000000000004">
      <c r="H24" s="77"/>
      <c r="I24" s="77"/>
    </row>
    <row r="25" spans="1:20" x14ac:dyDescent="0.55000000000000004">
      <c r="H25" s="77"/>
      <c r="I25" s="77"/>
    </row>
    <row r="26" spans="1:20" x14ac:dyDescent="0.55000000000000004">
      <c r="I26" s="77"/>
    </row>
    <row r="27" spans="1:20" x14ac:dyDescent="0.55000000000000004">
      <c r="B27" s="98" t="s">
        <v>74</v>
      </c>
      <c r="I27" s="77"/>
    </row>
    <row r="28" spans="1:20" x14ac:dyDescent="0.55000000000000004">
      <c r="B28" s="44" t="s">
        <v>75</v>
      </c>
      <c r="G28" s="66">
        <f>3700000-5000</f>
        <v>3695000</v>
      </c>
      <c r="H28" s="101" t="s">
        <v>81</v>
      </c>
      <c r="I28" s="44" t="s">
        <v>88</v>
      </c>
    </row>
    <row r="29" spans="1:20" x14ac:dyDescent="0.55000000000000004">
      <c r="B29" s="44" t="s">
        <v>87</v>
      </c>
      <c r="G29" s="66">
        <f>1494800-(498290+499000)</f>
        <v>497510</v>
      </c>
      <c r="H29" s="101" t="s">
        <v>82</v>
      </c>
      <c r="I29" s="44" t="s">
        <v>89</v>
      </c>
    </row>
    <row r="30" spans="1:20" x14ac:dyDescent="0.55000000000000004">
      <c r="B30" s="44" t="s">
        <v>76</v>
      </c>
      <c r="G30" s="66">
        <v>0</v>
      </c>
      <c r="H30" s="101" t="s">
        <v>83</v>
      </c>
      <c r="I30" s="44" t="s">
        <v>90</v>
      </c>
    </row>
    <row r="31" spans="1:20" x14ac:dyDescent="0.55000000000000004">
      <c r="B31" s="44" t="s">
        <v>79</v>
      </c>
      <c r="G31" s="66">
        <v>1075495</v>
      </c>
      <c r="H31" s="101" t="s">
        <v>84</v>
      </c>
      <c r="I31" s="44" t="s">
        <v>90</v>
      </c>
    </row>
    <row r="32" spans="1:20" x14ac:dyDescent="0.55000000000000004">
      <c r="B32" s="44" t="s">
        <v>77</v>
      </c>
      <c r="G32" s="66">
        <f>300000</f>
        <v>300000</v>
      </c>
      <c r="H32" s="101" t="s">
        <v>85</v>
      </c>
      <c r="I32" s="44" t="s">
        <v>90</v>
      </c>
    </row>
    <row r="33" spans="2:9" x14ac:dyDescent="0.55000000000000004">
      <c r="B33" s="44" t="s">
        <v>78</v>
      </c>
      <c r="G33" s="66">
        <f>43200+64800</f>
        <v>108000</v>
      </c>
      <c r="H33" s="101" t="s">
        <v>85</v>
      </c>
      <c r="I33" s="44" t="s">
        <v>90</v>
      </c>
    </row>
    <row r="34" spans="2:9" x14ac:dyDescent="0.55000000000000004">
      <c r="B34" s="44" t="s">
        <v>80</v>
      </c>
      <c r="G34" s="66">
        <v>700000</v>
      </c>
      <c r="H34" s="101" t="s">
        <v>86</v>
      </c>
      <c r="I34" s="44" t="s">
        <v>91</v>
      </c>
    </row>
    <row r="35" spans="2:9" ht="24.75" thickBot="1" x14ac:dyDescent="0.6">
      <c r="G35" s="100">
        <f>SUM(G28:G34)</f>
        <v>6376005</v>
      </c>
    </row>
    <row r="36" spans="2:9" ht="24.75" thickTop="1" x14ac:dyDescent="0.55000000000000004">
      <c r="G36" s="59"/>
    </row>
    <row r="37" spans="2:9" x14ac:dyDescent="0.55000000000000004">
      <c r="G37" s="59"/>
    </row>
    <row r="38" spans="2:9" x14ac:dyDescent="0.55000000000000004">
      <c r="B38" s="98" t="s">
        <v>69</v>
      </c>
    </row>
    <row r="39" spans="2:9" x14ac:dyDescent="0.55000000000000004">
      <c r="B39" s="44" t="s">
        <v>66</v>
      </c>
      <c r="G39" s="66">
        <f>N6</f>
        <v>1424234.33</v>
      </c>
      <c r="I39" s="44" t="s">
        <v>104</v>
      </c>
    </row>
    <row r="40" spans="2:9" x14ac:dyDescent="0.55000000000000004">
      <c r="B40" s="44" t="s">
        <v>67</v>
      </c>
      <c r="G40" s="66">
        <f>4739560</f>
        <v>4739560</v>
      </c>
      <c r="I40" s="44" t="s">
        <v>103</v>
      </c>
    </row>
    <row r="41" spans="2:9" x14ac:dyDescent="0.55000000000000004">
      <c r="B41" s="44" t="s">
        <v>68</v>
      </c>
      <c r="G41" s="66">
        <f>N8</f>
        <v>3139697</v>
      </c>
      <c r="I41" s="44" t="s">
        <v>104</v>
      </c>
    </row>
    <row r="42" spans="2:9" x14ac:dyDescent="0.55000000000000004">
      <c r="B42" s="44" t="s">
        <v>93</v>
      </c>
      <c r="G42" s="112">
        <f>10900+10900+112083</f>
        <v>133883</v>
      </c>
      <c r="H42" s="106">
        <f>SUM(G39:G42)</f>
        <v>9437374.3300000001</v>
      </c>
      <c r="I42" s="44" t="s">
        <v>104</v>
      </c>
    </row>
    <row r="43" spans="2:9" x14ac:dyDescent="0.55000000000000004">
      <c r="B43" s="44" t="s">
        <v>105</v>
      </c>
      <c r="G43" s="112">
        <f>57405+179987-G42</f>
        <v>103509</v>
      </c>
      <c r="H43" s="113"/>
      <c r="I43" s="44" t="s">
        <v>10</v>
      </c>
    </row>
    <row r="44" spans="2:9" x14ac:dyDescent="0.55000000000000004">
      <c r="B44" s="44" t="s">
        <v>101</v>
      </c>
      <c r="G44" s="66">
        <f>714348</f>
        <v>714348</v>
      </c>
      <c r="H44" s="78"/>
    </row>
    <row r="45" spans="2:9" x14ac:dyDescent="0.55000000000000004">
      <c r="B45" s="44" t="s">
        <v>73</v>
      </c>
      <c r="G45" s="66"/>
      <c r="H45" s="78"/>
    </row>
    <row r="46" spans="2:9" x14ac:dyDescent="0.55000000000000004">
      <c r="B46" s="44" t="s">
        <v>102</v>
      </c>
      <c r="G46" s="66">
        <f>782013</f>
        <v>782013</v>
      </c>
      <c r="H46" s="106">
        <f>SUM(G43:G46)</f>
        <v>1599870</v>
      </c>
    </row>
    <row r="47" spans="2:9" x14ac:dyDescent="0.55000000000000004">
      <c r="B47" s="44" t="s">
        <v>71</v>
      </c>
    </row>
    <row r="48" spans="2:9" ht="24.75" thickBot="1" x14ac:dyDescent="0.6">
      <c r="G48" s="97">
        <f>SUM(G39:G46)</f>
        <v>11037244.33</v>
      </c>
    </row>
    <row r="49" spans="3:9" ht="24.75" thickTop="1" x14ac:dyDescent="0.55000000000000004">
      <c r="I49" s="44" t="s">
        <v>106</v>
      </c>
    </row>
    <row r="50" spans="3:9" x14ac:dyDescent="0.55000000000000004">
      <c r="C50" s="59"/>
      <c r="D50" s="59"/>
      <c r="I50" s="114">
        <f>G42+G43+G44+G46</f>
        <v>1733753</v>
      </c>
    </row>
    <row r="51" spans="3:9" x14ac:dyDescent="0.55000000000000004">
      <c r="I51" s="114">
        <f>1733753-I50</f>
        <v>0</v>
      </c>
    </row>
  </sheetData>
  <mergeCells count="3">
    <mergeCell ref="B3:B5"/>
    <mergeCell ref="E3:H3"/>
    <mergeCell ref="J3:J5"/>
  </mergeCells>
  <pageMargins left="0.47244094488188981" right="0.31496062992125984" top="0.47244094488188981" bottom="0.19685039370078741" header="0.31496062992125984" footer="0.31496062992125984"/>
  <pageSetup paperSize="9" scale="94" fitToHeight="0" orientation="landscape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C4B1-B3A3-462A-8367-DA56F53271D7}">
  <sheetPr>
    <tabColor theme="4" tint="0.39997558519241921"/>
    <pageSetUpPr fitToPage="1"/>
  </sheetPr>
  <dimension ref="B2:L21"/>
  <sheetViews>
    <sheetView workbookViewId="0">
      <selection activeCell="E16" sqref="E16"/>
    </sheetView>
  </sheetViews>
  <sheetFormatPr defaultColWidth="9" defaultRowHeight="24" x14ac:dyDescent="0.55000000000000004"/>
  <cols>
    <col min="1" max="1" width="3.125" style="44" customWidth="1"/>
    <col min="2" max="2" width="29.125" style="44" customWidth="1"/>
    <col min="3" max="3" width="16.125" style="44" customWidth="1"/>
    <col min="4" max="5" width="17.375" style="44" customWidth="1"/>
    <col min="6" max="7" width="11" style="44" customWidth="1"/>
    <col min="8" max="8" width="30.25" style="44" customWidth="1"/>
    <col min="9" max="9" width="4.75" style="44" customWidth="1"/>
    <col min="10" max="10" width="15.75" style="44" bestFit="1" customWidth="1"/>
    <col min="11" max="11" width="14.375" style="44" bestFit="1" customWidth="1"/>
    <col min="12" max="12" width="13.25" style="85" customWidth="1"/>
    <col min="13" max="13" width="14.375" style="44" bestFit="1" customWidth="1"/>
    <col min="14" max="16384" width="9" style="44"/>
  </cols>
  <sheetData>
    <row r="2" spans="2:6" x14ac:dyDescent="0.55000000000000004">
      <c r="B2" s="98" t="s">
        <v>74</v>
      </c>
    </row>
    <row r="3" spans="2:6" x14ac:dyDescent="0.55000000000000004">
      <c r="B3" s="44" t="s">
        <v>75</v>
      </c>
      <c r="D3" s="66">
        <f>3700000-5000</f>
        <v>3695000</v>
      </c>
      <c r="E3" s="101" t="s">
        <v>81</v>
      </c>
      <c r="F3" s="44" t="s">
        <v>88</v>
      </c>
    </row>
    <row r="4" spans="2:6" x14ac:dyDescent="0.55000000000000004">
      <c r="B4" s="44" t="s">
        <v>87</v>
      </c>
      <c r="D4" s="66">
        <v>1494800</v>
      </c>
      <c r="E4" s="101" t="s">
        <v>82</v>
      </c>
      <c r="F4" s="44" t="s">
        <v>89</v>
      </c>
    </row>
    <row r="5" spans="2:6" x14ac:dyDescent="0.55000000000000004">
      <c r="B5" s="44" t="s">
        <v>76</v>
      </c>
      <c r="D5" s="66">
        <f>100000+485000</f>
        <v>585000</v>
      </c>
      <c r="E5" s="101" t="s">
        <v>83</v>
      </c>
      <c r="F5" s="44" t="s">
        <v>90</v>
      </c>
    </row>
    <row r="6" spans="2:6" x14ac:dyDescent="0.55000000000000004">
      <c r="B6" s="44" t="s">
        <v>79</v>
      </c>
      <c r="D6" s="66">
        <v>1075495</v>
      </c>
      <c r="E6" s="101" t="s">
        <v>84</v>
      </c>
      <c r="F6" s="44" t="s">
        <v>90</v>
      </c>
    </row>
    <row r="7" spans="2:6" x14ac:dyDescent="0.55000000000000004">
      <c r="B7" s="44" t="s">
        <v>77</v>
      </c>
      <c r="D7" s="66">
        <f>300000</f>
        <v>300000</v>
      </c>
      <c r="E7" s="101" t="s">
        <v>85</v>
      </c>
      <c r="F7" s="44" t="s">
        <v>90</v>
      </c>
    </row>
    <row r="8" spans="2:6" x14ac:dyDescent="0.55000000000000004">
      <c r="B8" s="44" t="s">
        <v>78</v>
      </c>
      <c r="D8" s="66">
        <f>43200+64800</f>
        <v>108000</v>
      </c>
      <c r="E8" s="101" t="s">
        <v>85</v>
      </c>
      <c r="F8" s="44" t="s">
        <v>90</v>
      </c>
    </row>
    <row r="9" spans="2:6" x14ac:dyDescent="0.55000000000000004">
      <c r="B9" s="44" t="s">
        <v>80</v>
      </c>
      <c r="D9" s="66">
        <v>700000</v>
      </c>
      <c r="E9" s="101" t="s">
        <v>86</v>
      </c>
      <c r="F9" s="44" t="s">
        <v>91</v>
      </c>
    </row>
    <row r="10" spans="2:6" x14ac:dyDescent="0.55000000000000004">
      <c r="D10" s="100">
        <f>SUM(D3:D9)</f>
        <v>7958295</v>
      </c>
    </row>
    <row r="11" spans="2:6" x14ac:dyDescent="0.55000000000000004">
      <c r="D11" s="59"/>
    </row>
    <row r="12" spans="2:6" x14ac:dyDescent="0.55000000000000004">
      <c r="B12" s="98" t="s">
        <v>69</v>
      </c>
    </row>
    <row r="13" spans="2:6" x14ac:dyDescent="0.55000000000000004">
      <c r="B13" s="44" t="s">
        <v>66</v>
      </c>
      <c r="D13" s="66">
        <v>1424234.33</v>
      </c>
    </row>
    <row r="14" spans="2:6" x14ac:dyDescent="0.55000000000000004">
      <c r="B14" s="44" t="s">
        <v>67</v>
      </c>
      <c r="D14" s="66">
        <v>4739560</v>
      </c>
    </row>
    <row r="15" spans="2:6" x14ac:dyDescent="0.55000000000000004">
      <c r="B15" s="44" t="s">
        <v>68</v>
      </c>
      <c r="D15" s="66">
        <v>3139697</v>
      </c>
      <c r="E15" s="99">
        <f>SUM(D13:D15)</f>
        <v>9303491.3300000001</v>
      </c>
    </row>
    <row r="16" spans="2:6" x14ac:dyDescent="0.55000000000000004">
      <c r="B16" s="44" t="s">
        <v>72</v>
      </c>
      <c r="D16" s="66">
        <v>714348</v>
      </c>
    </row>
    <row r="17" spans="2:5" x14ac:dyDescent="0.55000000000000004">
      <c r="B17" s="44" t="s">
        <v>73</v>
      </c>
      <c r="D17" s="66"/>
    </row>
    <row r="18" spans="2:5" x14ac:dyDescent="0.55000000000000004">
      <c r="B18" s="44" t="s">
        <v>70</v>
      </c>
      <c r="D18" s="66">
        <v>782013</v>
      </c>
      <c r="E18" s="99">
        <f>SUM(D16:D18)</f>
        <v>1496361</v>
      </c>
    </row>
    <row r="19" spans="2:5" x14ac:dyDescent="0.55000000000000004">
      <c r="B19" s="44" t="s">
        <v>71</v>
      </c>
    </row>
    <row r="20" spans="2:5" ht="24.75" thickBot="1" x14ac:dyDescent="0.6">
      <c r="D20" s="97">
        <f>SUM(D13:D18)</f>
        <v>10799852.33</v>
      </c>
    </row>
    <row r="21" spans="2:5" ht="24.75" thickTop="1" x14ac:dyDescent="0.55000000000000004"/>
  </sheetData>
  <pageMargins left="0.51181102362204722" right="0.51181102362204722" top="0.47244094488188981" bottom="0.19685039370078741" header="0.31496062992125984" footer="0.31496062992125984"/>
  <pageSetup paperSize="9" fitToHeight="0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C369B-1311-4956-ACEB-81A5ACF12BCF}">
  <sheetPr>
    <tabColor rgb="FF00B050"/>
    <pageSetUpPr fitToPage="1"/>
  </sheetPr>
  <dimension ref="A1:O22"/>
  <sheetViews>
    <sheetView workbookViewId="0">
      <selection activeCell="E16" sqref="E16"/>
    </sheetView>
  </sheetViews>
  <sheetFormatPr defaultColWidth="9" defaultRowHeight="24" x14ac:dyDescent="0.55000000000000004"/>
  <cols>
    <col min="1" max="1" width="3.125" style="44" customWidth="1"/>
    <col min="2" max="2" width="29.125" style="44" customWidth="1"/>
    <col min="3" max="3" width="16.125" style="44" customWidth="1"/>
    <col min="4" max="5" width="17.375" style="44" customWidth="1"/>
    <col min="6" max="7" width="11" style="44" customWidth="1"/>
    <col min="8" max="8" width="28.75" style="44" customWidth="1"/>
    <col min="9" max="9" width="4.75" style="44" customWidth="1"/>
    <col min="10" max="10" width="15.75" style="44" bestFit="1" customWidth="1"/>
    <col min="11" max="11" width="14.375" style="44" bestFit="1" customWidth="1"/>
    <col min="12" max="12" width="9" style="44"/>
    <col min="13" max="13" width="14.375" style="44" bestFit="1" customWidth="1"/>
    <col min="14" max="16384" width="9" style="44"/>
  </cols>
  <sheetData>
    <row r="1" spans="1:15" x14ac:dyDescent="0.55000000000000004">
      <c r="A1" s="35" t="s">
        <v>0</v>
      </c>
    </row>
    <row r="2" spans="1:15" x14ac:dyDescent="0.55000000000000004">
      <c r="A2" s="35" t="s">
        <v>1</v>
      </c>
      <c r="H2" s="45"/>
    </row>
    <row r="3" spans="1:15" x14ac:dyDescent="0.55000000000000004">
      <c r="B3" s="163" t="s">
        <v>36</v>
      </c>
      <c r="C3" s="46" t="s">
        <v>3</v>
      </c>
      <c r="D3" s="166" t="s">
        <v>60</v>
      </c>
      <c r="E3" s="167"/>
      <c r="F3" s="168"/>
      <c r="G3" s="68" t="s">
        <v>9</v>
      </c>
      <c r="H3" s="169" t="s">
        <v>11</v>
      </c>
      <c r="I3" s="47"/>
      <c r="J3" s="44" t="s">
        <v>49</v>
      </c>
      <c r="K3" s="66">
        <f>2812000+225000+2102300+66900+7758463</f>
        <v>12964663</v>
      </c>
    </row>
    <row r="4" spans="1:15" x14ac:dyDescent="0.55000000000000004">
      <c r="B4" s="164"/>
      <c r="C4" s="48" t="s">
        <v>4</v>
      </c>
      <c r="D4" s="46" t="s">
        <v>39</v>
      </c>
      <c r="E4" s="46" t="s">
        <v>38</v>
      </c>
      <c r="F4" s="46" t="s">
        <v>9</v>
      </c>
      <c r="G4" s="48" t="s">
        <v>40</v>
      </c>
      <c r="H4" s="170"/>
      <c r="I4" s="47"/>
      <c r="J4" s="75"/>
      <c r="K4" s="76">
        <f>K3/12</f>
        <v>1080388.5833333333</v>
      </c>
      <c r="L4" s="47"/>
      <c r="M4" s="47"/>
      <c r="N4" s="47"/>
      <c r="O4" s="47"/>
    </row>
    <row r="5" spans="1:15" x14ac:dyDescent="0.55000000000000004">
      <c r="B5" s="165"/>
      <c r="C5" s="49" t="s">
        <v>57</v>
      </c>
      <c r="D5" s="49" t="s">
        <v>8</v>
      </c>
      <c r="E5" s="49" t="s">
        <v>8</v>
      </c>
      <c r="F5" s="49" t="s">
        <v>40</v>
      </c>
      <c r="G5" s="79" t="s">
        <v>56</v>
      </c>
      <c r="H5" s="171"/>
      <c r="I5" s="47"/>
      <c r="J5" s="47"/>
      <c r="K5" s="47"/>
      <c r="L5" s="47"/>
      <c r="M5" s="47"/>
      <c r="N5" s="47"/>
      <c r="O5" s="47"/>
    </row>
    <row r="6" spans="1:15" ht="27.75" customHeight="1" x14ac:dyDescent="0.55000000000000004">
      <c r="B6" s="69" t="s">
        <v>44</v>
      </c>
      <c r="C6" s="71">
        <f>82009800+12964663</f>
        <v>94974463</v>
      </c>
      <c r="D6" s="70">
        <f>C6</f>
        <v>94974463</v>
      </c>
      <c r="E6" s="81">
        <f>73088405.67+7082229+(800000)</f>
        <v>80970634.670000002</v>
      </c>
      <c r="F6" s="72">
        <f>E6*100/D6</f>
        <v>85.255164506694811</v>
      </c>
      <c r="G6" s="72">
        <f>E6*100/C6</f>
        <v>85.255164506694811</v>
      </c>
      <c r="H6" s="32"/>
      <c r="I6" s="53"/>
      <c r="J6" s="51">
        <f>24715945.49-24912136.79</f>
        <v>-196191.30000000075</v>
      </c>
      <c r="K6" s="44">
        <f>83366860+12964663</f>
        <v>96331523</v>
      </c>
    </row>
    <row r="7" spans="1:15" ht="27.75" customHeight="1" x14ac:dyDescent="0.55000000000000004">
      <c r="B7" s="73" t="s">
        <v>45</v>
      </c>
      <c r="C7" s="74">
        <f>820090+9701000</f>
        <v>10521090</v>
      </c>
      <c r="D7" s="70">
        <f t="shared" ref="D7:D9" si="0">C7</f>
        <v>10521090</v>
      </c>
      <c r="E7" s="82">
        <f>820090+1243990+(3695000)</f>
        <v>5759080</v>
      </c>
      <c r="F7" s="72">
        <f t="shared" ref="F7:F12" si="1">E7*100/D7</f>
        <v>54.738434896004122</v>
      </c>
      <c r="G7" s="72">
        <f t="shared" ref="G7:G12" si="2">E7*100/C7</f>
        <v>54.738434896004122</v>
      </c>
      <c r="H7" s="33"/>
      <c r="I7" s="53"/>
    </row>
    <row r="8" spans="1:15" ht="27.75" customHeight="1" x14ac:dyDescent="0.55000000000000004">
      <c r="B8" s="73" t="s">
        <v>46</v>
      </c>
      <c r="C8" s="74">
        <f>59792400</f>
        <v>59792400</v>
      </c>
      <c r="D8" s="70">
        <f t="shared" si="0"/>
        <v>59792400</v>
      </c>
      <c r="E8" s="74">
        <f>42194669.5+(7476899.7)</f>
        <v>49671569.200000003</v>
      </c>
      <c r="F8" s="72">
        <f t="shared" si="1"/>
        <v>83.07338257036011</v>
      </c>
      <c r="G8" s="72">
        <f t="shared" si="2"/>
        <v>83.07338257036011</v>
      </c>
      <c r="H8" s="33"/>
      <c r="I8" s="53"/>
    </row>
    <row r="9" spans="1:15" ht="27.75" customHeight="1" x14ac:dyDescent="0.55000000000000004">
      <c r="B9" s="73" t="s">
        <v>47</v>
      </c>
      <c r="C9" s="74">
        <v>58366566</v>
      </c>
      <c r="D9" s="70">
        <f t="shared" si="0"/>
        <v>58366566</v>
      </c>
      <c r="E9" s="74">
        <f>48824384.87+(1495560)</f>
        <v>50319944.869999997</v>
      </c>
      <c r="F9" s="72">
        <f t="shared" si="1"/>
        <v>86.213646473565021</v>
      </c>
      <c r="G9" s="72">
        <f t="shared" si="2"/>
        <v>86.213646473565021</v>
      </c>
      <c r="H9" s="33"/>
      <c r="I9" s="53"/>
      <c r="J9" s="80" t="s">
        <v>58</v>
      </c>
    </row>
    <row r="10" spans="1:15" s="35" customFormat="1" ht="30.75" customHeight="1" thickBot="1" x14ac:dyDescent="0.6">
      <c r="B10" s="36" t="s">
        <v>12</v>
      </c>
      <c r="C10" s="37">
        <f>SUM(C6:C9)</f>
        <v>223654519</v>
      </c>
      <c r="D10" s="37">
        <f>SUM(D6:D9)</f>
        <v>223654519</v>
      </c>
      <c r="E10" s="37">
        <f>SUM(E6:E9)</f>
        <v>186721228.74000001</v>
      </c>
      <c r="F10" s="38">
        <f t="shared" si="1"/>
        <v>83.486454722607235</v>
      </c>
      <c r="G10" s="38">
        <f>E10*100/C10</f>
        <v>83.486454722607235</v>
      </c>
      <c r="H10" s="33"/>
      <c r="I10" s="39"/>
      <c r="J10" s="80">
        <f>83366860+12964663+791830+9701000+59792400+63689289</f>
        <v>230306042</v>
      </c>
      <c r="K10" s="59">
        <f>C10-J10</f>
        <v>-6651523</v>
      </c>
      <c r="L10" s="44"/>
      <c r="M10" s="44"/>
      <c r="N10" s="44"/>
      <c r="O10" s="44"/>
    </row>
    <row r="11" spans="1:15" ht="27.75" customHeight="1" thickTop="1" x14ac:dyDescent="0.55000000000000004">
      <c r="B11" s="73" t="s">
        <v>25</v>
      </c>
      <c r="C11" s="74">
        <f>3172380+836000+2051280+2013060</f>
        <v>8072720</v>
      </c>
      <c r="D11" s="74">
        <f>C11</f>
        <v>8072720</v>
      </c>
      <c r="E11" s="74">
        <f>2390367+598608+2051280+1298712</f>
        <v>6338967</v>
      </c>
      <c r="F11" s="72">
        <f t="shared" si="1"/>
        <v>78.523310606586136</v>
      </c>
      <c r="G11" s="72">
        <f>E11*100/C11</f>
        <v>78.523310606586136</v>
      </c>
      <c r="H11" s="33"/>
      <c r="I11" s="53"/>
      <c r="J11" s="66">
        <f>52674365.99+4197074.68+791290+1243990+27398923+32660960.87</f>
        <v>118966604.54000001</v>
      </c>
      <c r="K11" s="59">
        <f>E10-J11</f>
        <v>67754624.200000003</v>
      </c>
    </row>
    <row r="12" spans="1:15" s="35" customFormat="1" ht="30.75" customHeight="1" thickBot="1" x14ac:dyDescent="0.6">
      <c r="B12" s="36" t="s">
        <v>13</v>
      </c>
      <c r="C12" s="37">
        <f>+C10+C11</f>
        <v>231727239</v>
      </c>
      <c r="D12" s="37">
        <f>+D10+D11</f>
        <v>231727239</v>
      </c>
      <c r="E12" s="37">
        <f>+E10+E11</f>
        <v>193060195.74000001</v>
      </c>
      <c r="F12" s="38">
        <f t="shared" si="1"/>
        <v>83.313552853404516</v>
      </c>
      <c r="G12" s="38">
        <f t="shared" si="2"/>
        <v>83.313552853404516</v>
      </c>
      <c r="H12" s="34"/>
      <c r="I12" s="53"/>
      <c r="J12" s="41">
        <f>C12/2</f>
        <v>115863619.5</v>
      </c>
    </row>
    <row r="13" spans="1:15" s="35" customFormat="1" ht="11.25" customHeight="1" thickTop="1" x14ac:dyDescent="0.55000000000000004">
      <c r="B13" s="63"/>
      <c r="C13" s="64"/>
      <c r="D13" s="64"/>
      <c r="E13" s="64"/>
      <c r="F13" s="65"/>
      <c r="G13" s="65"/>
      <c r="H13" s="53"/>
      <c r="I13" s="53"/>
    </row>
    <row r="14" spans="1:15" x14ac:dyDescent="0.55000000000000004">
      <c r="A14" s="78" t="s">
        <v>53</v>
      </c>
      <c r="B14" s="78"/>
      <c r="J14" s="66">
        <f>3172380+836000+2051280+2013060</f>
        <v>8072720</v>
      </c>
      <c r="K14" s="44">
        <f>2390367+598608+2051280+1298712</f>
        <v>6338967</v>
      </c>
    </row>
    <row r="15" spans="1:15" x14ac:dyDescent="0.55000000000000004">
      <c r="A15" s="78"/>
      <c r="B15" s="78" t="s">
        <v>42</v>
      </c>
      <c r="J15" s="66"/>
    </row>
    <row r="16" spans="1:15" x14ac:dyDescent="0.55000000000000004">
      <c r="A16" s="78"/>
      <c r="B16" s="78" t="s">
        <v>43</v>
      </c>
      <c r="J16" s="66"/>
    </row>
    <row r="17" spans="1:10" x14ac:dyDescent="0.55000000000000004">
      <c r="A17" s="78" t="s">
        <v>16</v>
      </c>
      <c r="B17" s="78" t="s">
        <v>61</v>
      </c>
      <c r="J17" s="66">
        <f>406597759-142172600-40680100</f>
        <v>223745059</v>
      </c>
    </row>
    <row r="18" spans="1:10" ht="24" customHeight="1" x14ac:dyDescent="0.55000000000000004">
      <c r="J18" s="66">
        <f>337318847.45-126227695.47-37834382.68</f>
        <v>173256769.29999998</v>
      </c>
    </row>
    <row r="19" spans="1:10" x14ac:dyDescent="0.55000000000000004">
      <c r="F19" s="44" t="s">
        <v>17</v>
      </c>
    </row>
    <row r="20" spans="1:10" x14ac:dyDescent="0.55000000000000004">
      <c r="F20" s="77" t="s">
        <v>50</v>
      </c>
      <c r="G20" s="77"/>
    </row>
    <row r="21" spans="1:10" x14ac:dyDescent="0.55000000000000004">
      <c r="F21" s="77" t="s">
        <v>51</v>
      </c>
      <c r="G21" s="77"/>
      <c r="J21" s="44">
        <f>J18*100/J17</f>
        <v>77.43490295354411</v>
      </c>
    </row>
    <row r="22" spans="1:10" x14ac:dyDescent="0.55000000000000004">
      <c r="F22" s="77" t="s">
        <v>52</v>
      </c>
      <c r="G22" s="77"/>
    </row>
  </sheetData>
  <mergeCells count="3">
    <mergeCell ref="B3:B5"/>
    <mergeCell ref="D3:F3"/>
    <mergeCell ref="H3:H5"/>
  </mergeCells>
  <pageMargins left="0.51181102362204722" right="0.51181102362204722" top="0.47244094488188981" bottom="0.19685039370078741" header="0.31496062992125984" footer="0.31496062992125984"/>
  <pageSetup paperSize="9" scale="95" fitToHeight="0" orientation="landscape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A1914-40E2-4AC7-B44E-A06C9533F27B}">
  <sheetPr>
    <tabColor rgb="FF00B050"/>
    <pageSetUpPr fitToPage="1"/>
  </sheetPr>
  <dimension ref="A1:N22"/>
  <sheetViews>
    <sheetView workbookViewId="0">
      <selection activeCell="B12" sqref="B12"/>
    </sheetView>
  </sheetViews>
  <sheetFormatPr defaultColWidth="9" defaultRowHeight="24" x14ac:dyDescent="0.55000000000000004"/>
  <cols>
    <col min="1" max="1" width="3.125" style="1" customWidth="1"/>
    <col min="2" max="2" width="29.125" style="1" customWidth="1"/>
    <col min="3" max="4" width="16.125" style="1" customWidth="1"/>
    <col min="5" max="5" width="8.875" style="1" customWidth="1"/>
    <col min="6" max="6" width="16.125" style="1" customWidth="1"/>
    <col min="7" max="7" width="8.875" style="1" customWidth="1"/>
    <col min="8" max="8" width="33.75" style="1" customWidth="1"/>
    <col min="9" max="9" width="4.75" style="1" customWidth="1"/>
    <col min="10" max="11" width="14.375" style="1" bestFit="1" customWidth="1"/>
    <col min="12" max="12" width="9" style="1"/>
    <col min="13" max="13" width="14.375" style="1" bestFit="1" customWidth="1"/>
    <col min="14" max="16384" width="9" style="1"/>
  </cols>
  <sheetData>
    <row r="1" spans="1:14" x14ac:dyDescent="0.55000000000000004">
      <c r="A1" s="7" t="s">
        <v>0</v>
      </c>
    </row>
    <row r="2" spans="1:14" x14ac:dyDescent="0.55000000000000004">
      <c r="A2" s="7" t="s">
        <v>1</v>
      </c>
    </row>
    <row r="3" spans="1:14" x14ac:dyDescent="0.55000000000000004">
      <c r="B3" s="177" t="s">
        <v>2</v>
      </c>
      <c r="C3" s="2" t="s">
        <v>3</v>
      </c>
      <c r="D3" s="180" t="s">
        <v>6</v>
      </c>
      <c r="E3" s="181"/>
      <c r="F3" s="184" t="s">
        <v>10</v>
      </c>
      <c r="G3" s="185"/>
      <c r="H3" s="173" t="s">
        <v>11</v>
      </c>
      <c r="I3" s="29"/>
    </row>
    <row r="4" spans="1:14" x14ac:dyDescent="0.55000000000000004">
      <c r="B4" s="178"/>
      <c r="C4" s="3" t="s">
        <v>4</v>
      </c>
      <c r="D4" s="182" t="s">
        <v>7</v>
      </c>
      <c r="E4" s="183"/>
      <c r="F4" s="186"/>
      <c r="G4" s="187"/>
      <c r="H4" s="174"/>
      <c r="I4" s="29"/>
    </row>
    <row r="5" spans="1:14" x14ac:dyDescent="0.55000000000000004">
      <c r="B5" s="179"/>
      <c r="C5" s="4" t="s">
        <v>5</v>
      </c>
      <c r="D5" s="5" t="s">
        <v>8</v>
      </c>
      <c r="E5" s="5" t="s">
        <v>9</v>
      </c>
      <c r="F5" s="5" t="s">
        <v>8</v>
      </c>
      <c r="G5" s="5" t="s">
        <v>9</v>
      </c>
      <c r="H5" s="175"/>
      <c r="I5" s="29"/>
    </row>
    <row r="6" spans="1:14" ht="27.75" customHeight="1" x14ac:dyDescent="0.55000000000000004">
      <c r="B6" s="23" t="s">
        <v>20</v>
      </c>
      <c r="C6" s="6">
        <v>83530525</v>
      </c>
      <c r="D6" s="6">
        <v>66029290.5</v>
      </c>
      <c r="E6" s="10">
        <f>D6*100/C6</f>
        <v>79.048097087860995</v>
      </c>
      <c r="F6" s="6">
        <f>+C6-D6</f>
        <v>17501234.5</v>
      </c>
      <c r="G6" s="10">
        <f>F6*100/C6</f>
        <v>20.951902912139005</v>
      </c>
      <c r="H6" s="32"/>
      <c r="I6" s="30"/>
    </row>
    <row r="7" spans="1:14" ht="27.75" customHeight="1" x14ac:dyDescent="0.55000000000000004">
      <c r="B7" s="24" t="s">
        <v>21</v>
      </c>
      <c r="C7" s="8">
        <v>13668900</v>
      </c>
      <c r="D7" s="8">
        <v>11147788.710000001</v>
      </c>
      <c r="E7" s="9">
        <f t="shared" ref="E7:E13" si="0">D7*100/C7</f>
        <v>81.555858262186419</v>
      </c>
      <c r="F7" s="8">
        <f t="shared" ref="F7:F13" si="1">+C7-D7</f>
        <v>2521111.2899999991</v>
      </c>
      <c r="G7" s="9">
        <f t="shared" ref="G7:G13" si="2">F7*100/C7</f>
        <v>18.44414173781357</v>
      </c>
      <c r="H7" s="33"/>
      <c r="I7" s="30"/>
    </row>
    <row r="8" spans="1:14" ht="27.75" customHeight="1" x14ac:dyDescent="0.55000000000000004">
      <c r="B8" s="24" t="s">
        <v>22</v>
      </c>
      <c r="C8" s="15">
        <f>1830870+60597300</f>
        <v>62428170</v>
      </c>
      <c r="D8" s="15">
        <f>1830870+21861245</f>
        <v>23692115</v>
      </c>
      <c r="E8" s="16">
        <f t="shared" si="0"/>
        <v>37.95100032565427</v>
      </c>
      <c r="F8" s="15">
        <f t="shared" si="1"/>
        <v>38736055</v>
      </c>
      <c r="G8" s="16">
        <f t="shared" si="2"/>
        <v>62.04899967434573</v>
      </c>
      <c r="H8" s="33" t="s">
        <v>27</v>
      </c>
      <c r="I8" s="30"/>
    </row>
    <row r="9" spans="1:14" ht="27.75" customHeight="1" x14ac:dyDescent="0.55000000000000004">
      <c r="B9" s="24" t="s">
        <v>23</v>
      </c>
      <c r="C9" s="8">
        <v>64320000</v>
      </c>
      <c r="D9" s="8">
        <v>37869820.240000002</v>
      </c>
      <c r="E9" s="9">
        <f t="shared" si="0"/>
        <v>58.877208084577113</v>
      </c>
      <c r="F9" s="8">
        <f t="shared" si="1"/>
        <v>26450179.759999998</v>
      </c>
      <c r="G9" s="9">
        <f t="shared" si="2"/>
        <v>41.122791915422887</v>
      </c>
      <c r="H9" s="33" t="s">
        <v>30</v>
      </c>
      <c r="I9" s="30"/>
    </row>
    <row r="10" spans="1:14" ht="27.75" customHeight="1" x14ac:dyDescent="0.55000000000000004">
      <c r="B10" s="24" t="s">
        <v>24</v>
      </c>
      <c r="C10" s="15">
        <v>41755400</v>
      </c>
      <c r="D10" s="15">
        <v>24602332</v>
      </c>
      <c r="E10" s="16">
        <f>D10*100/C10</f>
        <v>58.920120511359009</v>
      </c>
      <c r="F10" s="15">
        <f t="shared" si="1"/>
        <v>17153068</v>
      </c>
      <c r="G10" s="16">
        <f t="shared" si="2"/>
        <v>41.079879488640991</v>
      </c>
      <c r="H10" s="33" t="s">
        <v>26</v>
      </c>
      <c r="I10" s="30"/>
      <c r="J10" s="12">
        <f>SUM(C6:C10)</f>
        <v>265702995</v>
      </c>
      <c r="K10" s="12">
        <f>SUM(D6:D10)</f>
        <v>163341346.45000002</v>
      </c>
      <c r="L10" s="11">
        <f>K10*100/J10</f>
        <v>61.475161937862246</v>
      </c>
      <c r="M10" s="12">
        <f>SUM(F6:F10)</f>
        <v>102361648.55</v>
      </c>
      <c r="N10" s="11">
        <f>M10*100/J10</f>
        <v>38.524838062137761</v>
      </c>
    </row>
    <row r="11" spans="1:14" s="7" customFormat="1" ht="30.75" customHeight="1" thickBot="1" x14ac:dyDescent="0.6">
      <c r="B11" s="17" t="s">
        <v>12</v>
      </c>
      <c r="C11" s="18">
        <f>SUM(C6:C10)</f>
        <v>265702995</v>
      </c>
      <c r="D11" s="18">
        <f>SUM(D6:D10)</f>
        <v>163341346.45000002</v>
      </c>
      <c r="E11" s="19">
        <f t="shared" si="0"/>
        <v>61.475161937862246</v>
      </c>
      <c r="F11" s="18">
        <f t="shared" si="1"/>
        <v>102361648.54999998</v>
      </c>
      <c r="G11" s="19">
        <f t="shared" si="2"/>
        <v>38.524838062137754</v>
      </c>
      <c r="H11" s="33" t="s">
        <v>32</v>
      </c>
      <c r="I11" s="31"/>
      <c r="J11" s="13">
        <f>SUM(F6)</f>
        <v>17501234.5</v>
      </c>
      <c r="N11" s="14">
        <f>L10+N10</f>
        <v>100</v>
      </c>
    </row>
    <row r="12" spans="1:14" ht="27.75" customHeight="1" thickTop="1" x14ac:dyDescent="0.55000000000000004">
      <c r="B12" s="24" t="s">
        <v>25</v>
      </c>
      <c r="C12" s="8">
        <v>47282656</v>
      </c>
      <c r="D12" s="8">
        <v>43834832</v>
      </c>
      <c r="E12" s="9">
        <f t="shared" si="0"/>
        <v>92.708057686099522</v>
      </c>
      <c r="F12" s="8">
        <f t="shared" si="1"/>
        <v>3447824</v>
      </c>
      <c r="G12" s="9">
        <f t="shared" si="2"/>
        <v>7.2919423139004715</v>
      </c>
      <c r="H12" s="33" t="s">
        <v>33</v>
      </c>
      <c r="I12" s="30"/>
    </row>
    <row r="13" spans="1:14" s="7" customFormat="1" ht="30.75" customHeight="1" thickBot="1" x14ac:dyDescent="0.6">
      <c r="B13" s="20" t="s">
        <v>13</v>
      </c>
      <c r="C13" s="21">
        <f>+C11+C12</f>
        <v>312985651</v>
      </c>
      <c r="D13" s="21">
        <f>+D11+D12</f>
        <v>207176178.45000002</v>
      </c>
      <c r="E13" s="22">
        <f t="shared" si="0"/>
        <v>66.193506886997838</v>
      </c>
      <c r="F13" s="21">
        <f t="shared" si="1"/>
        <v>105809472.54999998</v>
      </c>
      <c r="G13" s="22">
        <f t="shared" si="2"/>
        <v>33.806493113002162</v>
      </c>
      <c r="H13" s="34" t="s">
        <v>31</v>
      </c>
      <c r="I13" s="28"/>
    </row>
    <row r="14" spans="1:14" s="7" customFormat="1" ht="11.25" customHeight="1" thickTop="1" x14ac:dyDescent="0.55000000000000004">
      <c r="B14" s="25"/>
      <c r="C14" s="26"/>
      <c r="D14" s="26"/>
      <c r="E14" s="27"/>
      <c r="F14" s="26"/>
      <c r="G14" s="27"/>
      <c r="H14" s="28"/>
      <c r="I14" s="28"/>
    </row>
    <row r="15" spans="1:14" x14ac:dyDescent="0.55000000000000004">
      <c r="A15" s="1" t="s">
        <v>14</v>
      </c>
    </row>
    <row r="16" spans="1:14" x14ac:dyDescent="0.55000000000000004">
      <c r="B16" s="1" t="s">
        <v>15</v>
      </c>
    </row>
    <row r="17" spans="1:7" x14ac:dyDescent="0.55000000000000004">
      <c r="A17" s="1" t="s">
        <v>16</v>
      </c>
      <c r="B17" s="1" t="s">
        <v>18</v>
      </c>
    </row>
    <row r="18" spans="1:7" ht="6" customHeight="1" x14ac:dyDescent="0.55000000000000004">
      <c r="A18" s="1" t="s">
        <v>16</v>
      </c>
    </row>
    <row r="19" spans="1:7" x14ac:dyDescent="0.55000000000000004">
      <c r="E19" s="1" t="s">
        <v>17</v>
      </c>
    </row>
    <row r="20" spans="1:7" x14ac:dyDescent="0.55000000000000004">
      <c r="E20" s="176" t="s">
        <v>19</v>
      </c>
      <c r="F20" s="176"/>
      <c r="G20" s="176"/>
    </row>
    <row r="21" spans="1:7" x14ac:dyDescent="0.55000000000000004">
      <c r="E21" s="176" t="s">
        <v>28</v>
      </c>
      <c r="F21" s="176"/>
      <c r="G21" s="176"/>
    </row>
    <row r="22" spans="1:7" x14ac:dyDescent="0.55000000000000004">
      <c r="E22" s="176" t="s">
        <v>29</v>
      </c>
      <c r="F22" s="176"/>
      <c r="G22" s="176"/>
    </row>
  </sheetData>
  <mergeCells count="8">
    <mergeCell ref="H3:H5"/>
    <mergeCell ref="E20:G20"/>
    <mergeCell ref="E21:G21"/>
    <mergeCell ref="E22:G22"/>
    <mergeCell ref="B3:B5"/>
    <mergeCell ref="D3:E3"/>
    <mergeCell ref="D4:E4"/>
    <mergeCell ref="F3:G4"/>
  </mergeCells>
  <pageMargins left="0.51181102362204722" right="0.51181102362204722" top="0.47244094488188981" bottom="0.19685039370078741" header="0.31496062992125984" footer="0.31496062992125984"/>
  <pageSetup paperSize="9" scale="96" fitToHeight="0" orientation="landscape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ACAC4-D874-4BEE-AAF2-BE760698F858}">
  <sheetPr>
    <tabColor rgb="FFFF0000"/>
    <pageSetUpPr fitToPage="1"/>
  </sheetPr>
  <dimension ref="A1:N27"/>
  <sheetViews>
    <sheetView workbookViewId="0">
      <selection activeCell="D3" sqref="D3:G5"/>
    </sheetView>
  </sheetViews>
  <sheetFormatPr defaultColWidth="9" defaultRowHeight="24" x14ac:dyDescent="0.55000000000000004"/>
  <cols>
    <col min="1" max="1" width="3.125" style="1" customWidth="1"/>
    <col min="2" max="2" width="29.125" style="1" customWidth="1"/>
    <col min="3" max="4" width="16.125" style="1" customWidth="1"/>
    <col min="5" max="5" width="8.875" style="1" customWidth="1"/>
    <col min="6" max="6" width="16.125" style="1" customWidth="1"/>
    <col min="7" max="7" width="8.875" style="1" customWidth="1"/>
    <col min="8" max="8" width="33.75" style="1" customWidth="1"/>
    <col min="9" max="9" width="4.75" style="1" customWidth="1"/>
    <col min="10" max="11" width="14.375" style="1" bestFit="1" customWidth="1"/>
    <col min="12" max="12" width="9" style="1"/>
    <col min="13" max="13" width="14.375" style="1" bestFit="1" customWidth="1"/>
    <col min="14" max="16384" width="9" style="1"/>
  </cols>
  <sheetData>
    <row r="1" spans="1:14" x14ac:dyDescent="0.55000000000000004">
      <c r="A1" s="7" t="s">
        <v>0</v>
      </c>
    </row>
    <row r="2" spans="1:14" x14ac:dyDescent="0.55000000000000004">
      <c r="A2" s="7" t="s">
        <v>1</v>
      </c>
      <c r="H2" s="43" t="s">
        <v>34</v>
      </c>
    </row>
    <row r="3" spans="1:14" x14ac:dyDescent="0.55000000000000004">
      <c r="B3" s="177" t="s">
        <v>2</v>
      </c>
      <c r="C3" s="2" t="s">
        <v>3</v>
      </c>
      <c r="D3" s="180" t="s">
        <v>6</v>
      </c>
      <c r="E3" s="181"/>
      <c r="F3" s="184" t="s">
        <v>10</v>
      </c>
      <c r="G3" s="185"/>
      <c r="H3" s="173" t="s">
        <v>11</v>
      </c>
      <c r="I3" s="29"/>
    </row>
    <row r="4" spans="1:14" x14ac:dyDescent="0.55000000000000004">
      <c r="B4" s="178"/>
      <c r="C4" s="3" t="s">
        <v>4</v>
      </c>
      <c r="D4" s="182" t="s">
        <v>7</v>
      </c>
      <c r="E4" s="183"/>
      <c r="F4" s="186"/>
      <c r="G4" s="187"/>
      <c r="H4" s="174"/>
      <c r="I4" s="29"/>
    </row>
    <row r="5" spans="1:14" x14ac:dyDescent="0.55000000000000004">
      <c r="B5" s="179"/>
      <c r="C5" s="4" t="s">
        <v>5</v>
      </c>
      <c r="D5" s="5" t="s">
        <v>8</v>
      </c>
      <c r="E5" s="5" t="s">
        <v>9</v>
      </c>
      <c r="F5" s="5" t="s">
        <v>8</v>
      </c>
      <c r="G5" s="5" t="s">
        <v>9</v>
      </c>
      <c r="H5" s="175"/>
      <c r="I5" s="29"/>
    </row>
    <row r="6" spans="1:14" ht="27.75" customHeight="1" x14ac:dyDescent="0.55000000000000004">
      <c r="B6" s="23" t="s">
        <v>20</v>
      </c>
      <c r="C6" s="6">
        <v>83530525</v>
      </c>
      <c r="D6" s="6">
        <f>72491116.68</f>
        <v>72491116.680000007</v>
      </c>
      <c r="E6" s="10">
        <f>D6*100/C6</f>
        <v>86.783983076845274</v>
      </c>
      <c r="F6" s="6">
        <f>+C6-D6</f>
        <v>11039408.319999993</v>
      </c>
      <c r="G6" s="10">
        <f>F6*100/C6</f>
        <v>13.216016923154731</v>
      </c>
      <c r="H6" s="32"/>
      <c r="I6" s="30"/>
    </row>
    <row r="7" spans="1:14" ht="27.75" customHeight="1" x14ac:dyDescent="0.55000000000000004">
      <c r="B7" s="24" t="s">
        <v>21</v>
      </c>
      <c r="C7" s="8">
        <v>13668900</v>
      </c>
      <c r="D7" s="8">
        <f>11560280.53</f>
        <v>11560280.529999999</v>
      </c>
      <c r="E7" s="9">
        <f t="shared" ref="E7:E13" si="0">D7*100/C7</f>
        <v>84.573597948627906</v>
      </c>
      <c r="F7" s="8">
        <f t="shared" ref="F7:F13" si="1">+C7-D7</f>
        <v>2108619.4700000007</v>
      </c>
      <c r="G7" s="9">
        <f t="shared" ref="G7:G13" si="2">F7*100/C7</f>
        <v>15.426402051372097</v>
      </c>
      <c r="H7" s="33"/>
      <c r="I7" s="30"/>
    </row>
    <row r="8" spans="1:14" ht="27.75" customHeight="1" x14ac:dyDescent="0.55000000000000004">
      <c r="B8" s="24" t="s">
        <v>22</v>
      </c>
      <c r="C8" s="15">
        <f>1830870+60597300</f>
        <v>62428170</v>
      </c>
      <c r="D8" s="15">
        <f>1830870+29207545</f>
        <v>31038415</v>
      </c>
      <c r="E8" s="16">
        <f t="shared" si="0"/>
        <v>49.718604597892266</v>
      </c>
      <c r="F8" s="15">
        <f t="shared" si="1"/>
        <v>31389755</v>
      </c>
      <c r="G8" s="16">
        <f t="shared" si="2"/>
        <v>50.281395402107734</v>
      </c>
      <c r="H8" s="33" t="s">
        <v>27</v>
      </c>
      <c r="I8" s="30"/>
    </row>
    <row r="9" spans="1:14" ht="27.75" customHeight="1" x14ac:dyDescent="0.55000000000000004">
      <c r="B9" s="24" t="s">
        <v>23</v>
      </c>
      <c r="C9" s="8">
        <v>64320000</v>
      </c>
      <c r="D9" s="8">
        <f>38474380.24</f>
        <v>38474380.240000002</v>
      </c>
      <c r="E9" s="9">
        <f t="shared" si="0"/>
        <v>59.817133457711442</v>
      </c>
      <c r="F9" s="8">
        <f t="shared" si="1"/>
        <v>25845619.759999998</v>
      </c>
      <c r="G9" s="9">
        <f t="shared" si="2"/>
        <v>40.182866542288558</v>
      </c>
      <c r="H9" s="33" t="s">
        <v>30</v>
      </c>
      <c r="I9" s="30"/>
    </row>
    <row r="10" spans="1:14" ht="27.75" customHeight="1" x14ac:dyDescent="0.55000000000000004">
      <c r="B10" s="24" t="s">
        <v>24</v>
      </c>
      <c r="C10" s="15">
        <v>41755400</v>
      </c>
      <c r="D10" s="15">
        <f>27656945</f>
        <v>27656945</v>
      </c>
      <c r="E10" s="16">
        <f>D10*100/C10</f>
        <v>66.235612639323293</v>
      </c>
      <c r="F10" s="15">
        <f t="shared" si="1"/>
        <v>14098455</v>
      </c>
      <c r="G10" s="16">
        <f t="shared" si="2"/>
        <v>33.7643873606767</v>
      </c>
      <c r="H10" s="33" t="s">
        <v>26</v>
      </c>
      <c r="I10" s="30"/>
      <c r="J10" s="12">
        <f>SUM(C6:C10)</f>
        <v>265702995</v>
      </c>
      <c r="K10" s="12">
        <f>SUM(D6:D10)</f>
        <v>181221137.45000002</v>
      </c>
      <c r="L10" s="11">
        <f>K10*100/J10</f>
        <v>68.204401478425183</v>
      </c>
      <c r="M10" s="12">
        <f>SUM(F6:F10)</f>
        <v>84481857.549999982</v>
      </c>
      <c r="N10" s="11">
        <f>M10*100/J10</f>
        <v>31.795598521574806</v>
      </c>
    </row>
    <row r="11" spans="1:14" s="35" customFormat="1" ht="30.75" customHeight="1" thickBot="1" x14ac:dyDescent="0.6">
      <c r="B11" s="36" t="s">
        <v>12</v>
      </c>
      <c r="C11" s="37">
        <f>SUM(C6:C10)</f>
        <v>265702995</v>
      </c>
      <c r="D11" s="37">
        <f>SUM(D6:D10)</f>
        <v>181221137.45000002</v>
      </c>
      <c r="E11" s="38">
        <f t="shared" si="0"/>
        <v>68.204401478425183</v>
      </c>
      <c r="F11" s="37">
        <f t="shared" si="1"/>
        <v>84481857.549999982</v>
      </c>
      <c r="G11" s="38">
        <f t="shared" si="2"/>
        <v>31.795598521574806</v>
      </c>
      <c r="H11" s="33" t="s">
        <v>32</v>
      </c>
      <c r="I11" s="39"/>
      <c r="J11" s="40">
        <f>SUM(F6)</f>
        <v>11039408.319999993</v>
      </c>
      <c r="N11" s="41">
        <f>L10+N10</f>
        <v>99.999999999999986</v>
      </c>
    </row>
    <row r="12" spans="1:14" ht="27.75" customHeight="1" thickTop="1" x14ac:dyDescent="0.55000000000000004">
      <c r="B12" s="24" t="s">
        <v>25</v>
      </c>
      <c r="C12" s="8">
        <v>47282656</v>
      </c>
      <c r="D12" s="8">
        <f>45360740</f>
        <v>45360740</v>
      </c>
      <c r="E12" s="9">
        <f t="shared" si="0"/>
        <v>95.935262181549191</v>
      </c>
      <c r="F12" s="8">
        <f t="shared" si="1"/>
        <v>1921916</v>
      </c>
      <c r="G12" s="9">
        <f t="shared" si="2"/>
        <v>4.0647378184508076</v>
      </c>
      <c r="H12" s="33" t="s">
        <v>33</v>
      </c>
      <c r="I12" s="30"/>
    </row>
    <row r="13" spans="1:14" s="7" customFormat="1" ht="30.75" customHeight="1" thickBot="1" x14ac:dyDescent="0.6">
      <c r="B13" s="20" t="s">
        <v>13</v>
      </c>
      <c r="C13" s="21">
        <f>+C11+C12</f>
        <v>312985651</v>
      </c>
      <c r="D13" s="21">
        <f>+D11+D12</f>
        <v>226581877.45000002</v>
      </c>
      <c r="E13" s="22">
        <f t="shared" si="0"/>
        <v>72.393694958878484</v>
      </c>
      <c r="F13" s="21">
        <f t="shared" si="1"/>
        <v>86403773.549999982</v>
      </c>
      <c r="G13" s="22">
        <f t="shared" si="2"/>
        <v>27.606305041121512</v>
      </c>
      <c r="H13" s="34" t="s">
        <v>31</v>
      </c>
      <c r="I13" s="28"/>
    </row>
    <row r="14" spans="1:14" s="7" customFormat="1" ht="11.25" customHeight="1" thickTop="1" x14ac:dyDescent="0.55000000000000004">
      <c r="B14" s="25"/>
      <c r="C14" s="26"/>
      <c r="D14" s="26"/>
      <c r="E14" s="27"/>
      <c r="F14" s="26"/>
      <c r="G14" s="27"/>
      <c r="H14" s="28"/>
      <c r="I14" s="28"/>
    </row>
    <row r="15" spans="1:14" x14ac:dyDescent="0.55000000000000004">
      <c r="A15" s="1" t="s">
        <v>14</v>
      </c>
    </row>
    <row r="16" spans="1:14" x14ac:dyDescent="0.55000000000000004">
      <c r="B16" s="1" t="s">
        <v>15</v>
      </c>
    </row>
    <row r="17" spans="1:7" x14ac:dyDescent="0.55000000000000004">
      <c r="A17" s="1" t="s">
        <v>16</v>
      </c>
      <c r="B17" s="1" t="s">
        <v>18</v>
      </c>
    </row>
    <row r="18" spans="1:7" ht="17.25" customHeight="1" x14ac:dyDescent="0.55000000000000004">
      <c r="A18" s="1" t="s">
        <v>16</v>
      </c>
    </row>
    <row r="19" spans="1:7" ht="17.25" customHeight="1" x14ac:dyDescent="0.55000000000000004"/>
    <row r="20" spans="1:7" ht="48.75" customHeight="1" x14ac:dyDescent="0.55000000000000004"/>
    <row r="21" spans="1:7" ht="17.25" customHeight="1" x14ac:dyDescent="0.55000000000000004"/>
    <row r="22" spans="1:7" ht="17.25" customHeight="1" x14ac:dyDescent="0.55000000000000004"/>
    <row r="23" spans="1:7" ht="17.25" customHeight="1" x14ac:dyDescent="0.55000000000000004"/>
    <row r="24" spans="1:7" x14ac:dyDescent="0.55000000000000004">
      <c r="E24" s="1" t="s">
        <v>17</v>
      </c>
    </row>
    <row r="25" spans="1:7" x14ac:dyDescent="0.55000000000000004">
      <c r="E25" s="176" t="s">
        <v>19</v>
      </c>
      <c r="F25" s="176"/>
      <c r="G25" s="176"/>
    </row>
    <row r="26" spans="1:7" x14ac:dyDescent="0.55000000000000004">
      <c r="E26" s="176" t="s">
        <v>28</v>
      </c>
      <c r="F26" s="176"/>
      <c r="G26" s="176"/>
    </row>
    <row r="27" spans="1:7" x14ac:dyDescent="0.55000000000000004">
      <c r="E27" s="176" t="s">
        <v>29</v>
      </c>
      <c r="F27" s="176"/>
      <c r="G27" s="176"/>
    </row>
  </sheetData>
  <mergeCells count="8">
    <mergeCell ref="H3:H5"/>
    <mergeCell ref="D4:E4"/>
    <mergeCell ref="E25:G25"/>
    <mergeCell ref="E26:G26"/>
    <mergeCell ref="E27:G27"/>
    <mergeCell ref="B3:B5"/>
    <mergeCell ref="D3:E3"/>
    <mergeCell ref="F3:G4"/>
  </mergeCells>
  <pageMargins left="0.51181102362204722" right="0.51181102362204722" top="0.47244094488188981" bottom="0.19685039370078741" header="0.31496062992125984" footer="0.31496062992125984"/>
  <pageSetup paperSize="9" scale="96" fitToHeight="0" orientation="landscape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65D03-C244-41BF-8DB1-F3073403514D}">
  <sheetPr>
    <tabColor rgb="FFFF0000"/>
    <pageSetUpPr fitToPage="1"/>
  </sheetPr>
  <dimension ref="A1:N27"/>
  <sheetViews>
    <sheetView workbookViewId="0">
      <selection activeCell="D3" sqref="D3:G5"/>
    </sheetView>
  </sheetViews>
  <sheetFormatPr defaultColWidth="9" defaultRowHeight="24" x14ac:dyDescent="0.55000000000000004"/>
  <cols>
    <col min="1" max="1" width="3.125" style="1" customWidth="1"/>
    <col min="2" max="2" width="29.125" style="1" customWidth="1"/>
    <col min="3" max="4" width="16.125" style="1" customWidth="1"/>
    <col min="5" max="5" width="8.875" style="1" customWidth="1"/>
    <col min="6" max="6" width="16.125" style="1" customWidth="1"/>
    <col min="7" max="7" width="8.875" style="1" customWidth="1"/>
    <col min="8" max="8" width="33.75" style="1" customWidth="1"/>
    <col min="9" max="9" width="4.75" style="1" customWidth="1"/>
    <col min="10" max="11" width="14.375" style="1" bestFit="1" customWidth="1"/>
    <col min="12" max="12" width="9" style="1"/>
    <col min="13" max="13" width="14.375" style="1" bestFit="1" customWidth="1"/>
    <col min="14" max="16384" width="9" style="1"/>
  </cols>
  <sheetData>
    <row r="1" spans="1:14" x14ac:dyDescent="0.55000000000000004">
      <c r="A1" s="7" t="s">
        <v>0</v>
      </c>
    </row>
    <row r="2" spans="1:14" x14ac:dyDescent="0.55000000000000004">
      <c r="A2" s="7" t="s">
        <v>1</v>
      </c>
      <c r="H2" s="42" t="s">
        <v>35</v>
      </c>
    </row>
    <row r="3" spans="1:14" x14ac:dyDescent="0.55000000000000004">
      <c r="B3" s="177" t="s">
        <v>2</v>
      </c>
      <c r="C3" s="2" t="s">
        <v>3</v>
      </c>
      <c r="D3" s="180" t="s">
        <v>6</v>
      </c>
      <c r="E3" s="181"/>
      <c r="F3" s="184" t="s">
        <v>10</v>
      </c>
      <c r="G3" s="185"/>
      <c r="H3" s="173" t="s">
        <v>11</v>
      </c>
      <c r="I3" s="29"/>
    </row>
    <row r="4" spans="1:14" x14ac:dyDescent="0.55000000000000004">
      <c r="B4" s="178"/>
      <c r="C4" s="3" t="s">
        <v>4</v>
      </c>
      <c r="D4" s="182" t="s">
        <v>7</v>
      </c>
      <c r="E4" s="183"/>
      <c r="F4" s="186"/>
      <c r="G4" s="187"/>
      <c r="H4" s="174"/>
      <c r="I4" s="29"/>
    </row>
    <row r="5" spans="1:14" x14ac:dyDescent="0.55000000000000004">
      <c r="B5" s="179"/>
      <c r="C5" s="4" t="s">
        <v>5</v>
      </c>
      <c r="D5" s="5" t="s">
        <v>8</v>
      </c>
      <c r="E5" s="5" t="s">
        <v>9</v>
      </c>
      <c r="F5" s="5" t="s">
        <v>8</v>
      </c>
      <c r="G5" s="5" t="s">
        <v>9</v>
      </c>
      <c r="H5" s="175"/>
      <c r="I5" s="29"/>
    </row>
    <row r="6" spans="1:14" ht="27.75" customHeight="1" x14ac:dyDescent="0.55000000000000004">
      <c r="B6" s="23" t="s">
        <v>20</v>
      </c>
      <c r="C6" s="6">
        <v>83530525</v>
      </c>
      <c r="D6" s="6">
        <f>72491116.68+9632882.82</f>
        <v>82123999.5</v>
      </c>
      <c r="E6" s="10">
        <f>D6*100/C6</f>
        <v>98.31615388506178</v>
      </c>
      <c r="F6" s="6">
        <f>+C6-D6</f>
        <v>1406525.5</v>
      </c>
      <c r="G6" s="10">
        <f>F6*100/C6</f>
        <v>1.6838461149382218</v>
      </c>
      <c r="H6" s="32"/>
      <c r="I6" s="30"/>
    </row>
    <row r="7" spans="1:14" ht="27.75" customHeight="1" x14ac:dyDescent="0.55000000000000004">
      <c r="B7" s="24" t="s">
        <v>21</v>
      </c>
      <c r="C7" s="8">
        <v>13668900</v>
      </c>
      <c r="D7" s="8">
        <f>11560280.53+2108619.47</f>
        <v>13668900</v>
      </c>
      <c r="E7" s="9">
        <f t="shared" ref="E7:E13" si="0">D7*100/C7</f>
        <v>100</v>
      </c>
      <c r="F7" s="8">
        <f t="shared" ref="F7:F13" si="1">+C7-D7</f>
        <v>0</v>
      </c>
      <c r="G7" s="9">
        <f t="shared" ref="G7:G13" si="2">F7*100/C7</f>
        <v>0</v>
      </c>
      <c r="H7" s="33"/>
      <c r="I7" s="30"/>
    </row>
    <row r="8" spans="1:14" ht="27.75" customHeight="1" x14ac:dyDescent="0.55000000000000004">
      <c r="B8" s="24" t="s">
        <v>22</v>
      </c>
      <c r="C8" s="15">
        <f>1830870+60597300</f>
        <v>62428170</v>
      </c>
      <c r="D8" s="15">
        <f>1830870+29207545+15822694-3980</f>
        <v>46857129</v>
      </c>
      <c r="E8" s="16">
        <f t="shared" si="0"/>
        <v>75.057668677457627</v>
      </c>
      <c r="F8" s="15">
        <f t="shared" si="1"/>
        <v>15571041</v>
      </c>
      <c r="G8" s="16">
        <f t="shared" si="2"/>
        <v>24.942331322542373</v>
      </c>
      <c r="H8" s="33" t="s">
        <v>27</v>
      </c>
      <c r="I8" s="30"/>
    </row>
    <row r="9" spans="1:14" ht="27.75" customHeight="1" x14ac:dyDescent="0.55000000000000004">
      <c r="B9" s="24" t="s">
        <v>23</v>
      </c>
      <c r="C9" s="8">
        <v>64320000</v>
      </c>
      <c r="D9" s="8">
        <f>38474380.24+25845619.75+0.01</f>
        <v>64320000</v>
      </c>
      <c r="E9" s="9">
        <f t="shared" si="0"/>
        <v>100</v>
      </c>
      <c r="F9" s="8">
        <f t="shared" si="1"/>
        <v>0</v>
      </c>
      <c r="G9" s="9">
        <f t="shared" si="2"/>
        <v>0</v>
      </c>
      <c r="H9" s="33" t="s">
        <v>30</v>
      </c>
      <c r="I9" s="30"/>
    </row>
    <row r="10" spans="1:14" ht="27.75" customHeight="1" x14ac:dyDescent="0.55000000000000004">
      <c r="B10" s="24" t="s">
        <v>24</v>
      </c>
      <c r="C10" s="15">
        <v>41755400</v>
      </c>
      <c r="D10" s="15">
        <f>27656945+13549113.5</f>
        <v>41206058.5</v>
      </c>
      <c r="E10" s="16">
        <f>D10*100/C10</f>
        <v>98.68438213979509</v>
      </c>
      <c r="F10" s="15">
        <f t="shared" si="1"/>
        <v>549341.5</v>
      </c>
      <c r="G10" s="16">
        <f t="shared" si="2"/>
        <v>1.3156178602049076</v>
      </c>
      <c r="H10" s="33" t="s">
        <v>26</v>
      </c>
      <c r="I10" s="30"/>
      <c r="J10" s="12">
        <f>SUM(C6:C10)</f>
        <v>265702995</v>
      </c>
      <c r="K10" s="12">
        <f>SUM(D6:D10)</f>
        <v>248176087</v>
      </c>
      <c r="L10" s="11">
        <f>K10*100/J10</f>
        <v>93.403571532944142</v>
      </c>
      <c r="M10" s="12">
        <f>SUM(F6:F10)</f>
        <v>17526908</v>
      </c>
      <c r="N10" s="11">
        <f>M10*100/J10</f>
        <v>6.5964284670558566</v>
      </c>
    </row>
    <row r="11" spans="1:14" s="35" customFormat="1" ht="30.75" customHeight="1" thickBot="1" x14ac:dyDescent="0.6">
      <c r="B11" s="36" t="s">
        <v>12</v>
      </c>
      <c r="C11" s="37">
        <f>SUM(C6:C10)</f>
        <v>265702995</v>
      </c>
      <c r="D11" s="37">
        <f>SUM(D6:D10)</f>
        <v>248176087</v>
      </c>
      <c r="E11" s="38">
        <f t="shared" si="0"/>
        <v>93.403571532944142</v>
      </c>
      <c r="F11" s="37">
        <f t="shared" si="1"/>
        <v>17526908</v>
      </c>
      <c r="G11" s="38">
        <f t="shared" si="2"/>
        <v>6.5964284670558566</v>
      </c>
      <c r="H11" s="33" t="s">
        <v>32</v>
      </c>
      <c r="I11" s="39"/>
      <c r="J11" s="40">
        <f>SUM(F6)</f>
        <v>1406525.5</v>
      </c>
      <c r="N11" s="41">
        <f>L10+N10</f>
        <v>100</v>
      </c>
    </row>
    <row r="12" spans="1:14" ht="27.75" customHeight="1" thickTop="1" x14ac:dyDescent="0.55000000000000004">
      <c r="B12" s="24" t="s">
        <v>25</v>
      </c>
      <c r="C12" s="8">
        <v>47282656</v>
      </c>
      <c r="D12" s="8">
        <f>45360740+1906970</f>
        <v>47267710</v>
      </c>
      <c r="E12" s="9">
        <f t="shared" si="0"/>
        <v>99.968390100589943</v>
      </c>
      <c r="F12" s="8">
        <f t="shared" si="1"/>
        <v>14946</v>
      </c>
      <c r="G12" s="9">
        <f t="shared" si="2"/>
        <v>3.160989941005006E-2</v>
      </c>
      <c r="H12" s="33" t="s">
        <v>33</v>
      </c>
      <c r="I12" s="30"/>
    </row>
    <row r="13" spans="1:14" s="7" customFormat="1" ht="30.75" customHeight="1" thickBot="1" x14ac:dyDescent="0.6">
      <c r="B13" s="20" t="s">
        <v>13</v>
      </c>
      <c r="C13" s="21">
        <f>+C11+C12</f>
        <v>312985651</v>
      </c>
      <c r="D13" s="21">
        <f>+D11+D12</f>
        <v>295443797</v>
      </c>
      <c r="E13" s="22">
        <f t="shared" si="0"/>
        <v>94.395316863903133</v>
      </c>
      <c r="F13" s="21">
        <f t="shared" si="1"/>
        <v>17541854</v>
      </c>
      <c r="G13" s="22">
        <f t="shared" si="2"/>
        <v>5.6046831360968685</v>
      </c>
      <c r="H13" s="34" t="s">
        <v>31</v>
      </c>
      <c r="I13" s="28"/>
    </row>
    <row r="14" spans="1:14" s="7" customFormat="1" ht="11.25" customHeight="1" thickTop="1" x14ac:dyDescent="0.55000000000000004">
      <c r="B14" s="25"/>
      <c r="C14" s="26"/>
      <c r="D14" s="26"/>
      <c r="E14" s="27"/>
      <c r="F14" s="26"/>
      <c r="G14" s="27"/>
      <c r="H14" s="28"/>
      <c r="I14" s="28"/>
    </row>
    <row r="15" spans="1:14" x14ac:dyDescent="0.55000000000000004">
      <c r="A15" s="1" t="s">
        <v>14</v>
      </c>
    </row>
    <row r="16" spans="1:14" x14ac:dyDescent="0.55000000000000004">
      <c r="B16" s="1" t="s">
        <v>15</v>
      </c>
    </row>
    <row r="17" spans="1:7" x14ac:dyDescent="0.55000000000000004">
      <c r="A17" s="1" t="s">
        <v>16</v>
      </c>
      <c r="B17" s="1" t="s">
        <v>18</v>
      </c>
    </row>
    <row r="18" spans="1:7" ht="17.25" customHeight="1" x14ac:dyDescent="0.55000000000000004">
      <c r="A18" s="1" t="s">
        <v>16</v>
      </c>
    </row>
    <row r="19" spans="1:7" ht="17.25" customHeight="1" x14ac:dyDescent="0.55000000000000004"/>
    <row r="20" spans="1:7" ht="48.75" customHeight="1" x14ac:dyDescent="0.55000000000000004"/>
    <row r="21" spans="1:7" ht="17.25" customHeight="1" x14ac:dyDescent="0.55000000000000004"/>
    <row r="22" spans="1:7" ht="17.25" customHeight="1" x14ac:dyDescent="0.55000000000000004"/>
    <row r="23" spans="1:7" ht="17.25" customHeight="1" x14ac:dyDescent="0.55000000000000004"/>
    <row r="24" spans="1:7" x14ac:dyDescent="0.55000000000000004">
      <c r="E24" s="1" t="s">
        <v>17</v>
      </c>
    </row>
    <row r="25" spans="1:7" x14ac:dyDescent="0.55000000000000004">
      <c r="E25" s="176" t="s">
        <v>19</v>
      </c>
      <c r="F25" s="176"/>
      <c r="G25" s="176"/>
    </row>
    <row r="26" spans="1:7" x14ac:dyDescent="0.55000000000000004">
      <c r="E26" s="176" t="s">
        <v>28</v>
      </c>
      <c r="F26" s="176"/>
      <c r="G26" s="176"/>
    </row>
    <row r="27" spans="1:7" x14ac:dyDescent="0.55000000000000004">
      <c r="E27" s="176" t="s">
        <v>29</v>
      </c>
      <c r="F27" s="176"/>
      <c r="G27" s="176"/>
    </row>
  </sheetData>
  <mergeCells count="8">
    <mergeCell ref="B3:B5"/>
    <mergeCell ref="D3:E3"/>
    <mergeCell ref="F3:G4"/>
    <mergeCell ref="H3:H5"/>
    <mergeCell ref="D4:E4"/>
    <mergeCell ref="E25:G25"/>
    <mergeCell ref="E26:G26"/>
    <mergeCell ref="E27:G27"/>
  </mergeCells>
  <pageMargins left="0.51181102362204722" right="0.51181102362204722" top="0.47244094488188981" bottom="0.19685039370078741" header="0.31496062992125984" footer="0.31496062992125984"/>
  <pageSetup paperSize="9" scale="96" fitToHeight="0" orientation="landscape" horizontalDpi="4294967295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F8544-C3B5-49D1-94D7-B3D5131F62F7}">
  <sheetPr>
    <tabColor rgb="FF00B050"/>
    <pageSetUpPr fitToPage="1"/>
  </sheetPr>
  <dimension ref="A1:N26"/>
  <sheetViews>
    <sheetView topLeftCell="A4" workbookViewId="0">
      <selection activeCell="D3" sqref="D3:G5"/>
    </sheetView>
  </sheetViews>
  <sheetFormatPr defaultColWidth="9" defaultRowHeight="24" x14ac:dyDescent="0.55000000000000004"/>
  <cols>
    <col min="1" max="1" width="3.125" style="44" customWidth="1"/>
    <col min="2" max="2" width="29.125" style="44" customWidth="1"/>
    <col min="3" max="3" width="16.125" style="44" customWidth="1"/>
    <col min="4" max="5" width="17.375" style="44" customWidth="1"/>
    <col min="6" max="6" width="11" style="44" customWidth="1"/>
    <col min="7" max="7" width="33.75" style="44" customWidth="1"/>
    <col min="8" max="8" width="4.75" style="44" customWidth="1"/>
    <col min="9" max="9" width="15.75" style="44" bestFit="1" customWidth="1"/>
    <col min="10" max="10" width="14.375" style="44" bestFit="1" customWidth="1"/>
    <col min="11" max="11" width="9" style="44"/>
    <col min="12" max="12" width="14.375" style="44" bestFit="1" customWidth="1"/>
    <col min="13" max="16384" width="9" style="44"/>
  </cols>
  <sheetData>
    <row r="1" spans="1:14" x14ac:dyDescent="0.55000000000000004">
      <c r="A1" s="35" t="s">
        <v>0</v>
      </c>
    </row>
    <row r="2" spans="1:14" x14ac:dyDescent="0.55000000000000004">
      <c r="A2" s="35" t="s">
        <v>1</v>
      </c>
      <c r="G2" s="45"/>
    </row>
    <row r="3" spans="1:14" x14ac:dyDescent="0.55000000000000004">
      <c r="B3" s="163" t="s">
        <v>36</v>
      </c>
      <c r="C3" s="46" t="s">
        <v>3</v>
      </c>
      <c r="D3" s="166" t="s">
        <v>37</v>
      </c>
      <c r="E3" s="167"/>
      <c r="F3" s="168"/>
      <c r="G3" s="169" t="s">
        <v>11</v>
      </c>
      <c r="H3" s="47"/>
    </row>
    <row r="4" spans="1:14" x14ac:dyDescent="0.55000000000000004">
      <c r="B4" s="164"/>
      <c r="C4" s="48" t="s">
        <v>4</v>
      </c>
      <c r="D4" s="46" t="s">
        <v>39</v>
      </c>
      <c r="E4" s="46" t="s">
        <v>38</v>
      </c>
      <c r="F4" s="46" t="s">
        <v>9</v>
      </c>
      <c r="G4" s="170"/>
      <c r="H4" s="47"/>
    </row>
    <row r="5" spans="1:14" x14ac:dyDescent="0.55000000000000004">
      <c r="B5" s="165"/>
      <c r="C5" s="49" t="s">
        <v>5</v>
      </c>
      <c r="D5" s="49" t="s">
        <v>8</v>
      </c>
      <c r="E5" s="49" t="s">
        <v>8</v>
      </c>
      <c r="F5" s="49" t="s">
        <v>40</v>
      </c>
      <c r="G5" s="171"/>
      <c r="H5" s="47"/>
    </row>
    <row r="6" spans="1:14" ht="27.75" customHeight="1" x14ac:dyDescent="0.55000000000000004">
      <c r="B6" s="50" t="s">
        <v>44</v>
      </c>
      <c r="C6" s="51">
        <f>83366860+12964663</f>
        <v>96331523</v>
      </c>
      <c r="D6" s="51">
        <f>'[2]สงม.1 (แยกเดือน)'!$D$153+'[2]สงม.1 (แยกเดือน)'!$E$153+'[2]สงม.1 (แยกเดือน)'!$F$153+'[2]สงม.1 (แยกเดือน)'!$G$153+'[2]สงม.1 (แยกเดือน)'!$H$153+'[2]สงม.1 (แยกเดือน)'!$I$153+'[2]สงม.1 (แยกเดือน)'!$D$158+'[2]สงม.1 (แยกเดือน)'!$E$158+'[2]สงม.1 (แยกเดือน)'!$F$158+'[2]สงม.1 (แยกเดือน)'!$G$158+'[2]สงม.1 (แยกเดือน)'!$H$158+'[2]สงม.1 (แยกเดือน)'!$I$158</f>
        <v>67189927.5</v>
      </c>
      <c r="E6" s="51">
        <f>24715945.49+1448762.3</f>
        <v>26164707.789999999</v>
      </c>
      <c r="F6" s="52">
        <f>E6*100/D6</f>
        <v>38.94141393440259</v>
      </c>
      <c r="G6" s="32"/>
      <c r="H6" s="53"/>
    </row>
    <row r="7" spans="1:14" ht="27.75" customHeight="1" x14ac:dyDescent="0.55000000000000004">
      <c r="B7" s="54" t="s">
        <v>45</v>
      </c>
      <c r="C7" s="55">
        <f>791830+9701000</f>
        <v>10492830</v>
      </c>
      <c r="D7" s="55">
        <f>791290+648000+595990</f>
        <v>2035280</v>
      </c>
      <c r="E7" s="55">
        <f>791290+595990</f>
        <v>1387280</v>
      </c>
      <c r="F7" s="56">
        <f t="shared" ref="F7:F12" si="0">E7*100/D7</f>
        <v>68.161628866789826</v>
      </c>
      <c r="G7" s="33"/>
      <c r="H7" s="53"/>
    </row>
    <row r="8" spans="1:14" ht="27.75" customHeight="1" x14ac:dyDescent="0.55000000000000004">
      <c r="B8" s="54" t="s">
        <v>46</v>
      </c>
      <c r="C8" s="57">
        <f>59792400</f>
        <v>59792400</v>
      </c>
      <c r="D8" s="57">
        <f>'[2]สงม.1 (แยกเดือน)'!$D$154+'[2]สงม.1 (แยกเดือน)'!$E$154+'[2]สงม.1 (แยกเดือน)'!$F$154+'[2]สงม.1 (แยกเดือน)'!$G$154+'[2]สงม.1 (แยกเดือน)'!$H$154+'[2]สงม.1 (แยกเดือน)'!$I$154</f>
        <v>29896200</v>
      </c>
      <c r="E8" s="57">
        <f>25189061</f>
        <v>25189061</v>
      </c>
      <c r="F8" s="58">
        <f t="shared" si="0"/>
        <v>84.255059171399708</v>
      </c>
      <c r="G8" s="33"/>
      <c r="H8" s="53"/>
    </row>
    <row r="9" spans="1:14" ht="27.75" customHeight="1" x14ac:dyDescent="0.55000000000000004">
      <c r="B9" s="54" t="s">
        <v>47</v>
      </c>
      <c r="C9" s="55">
        <v>63822640</v>
      </c>
      <c r="D9" s="55">
        <f>'[2]สงม.1 (แยกเดือน)'!$D$155+'[2]สงม.1 (แยกเดือน)'!$E$155+'[2]สงม.1 (แยกเดือน)'!$F$155+'[2]สงม.1 (แยกเดือน)'!$G$155+'[2]สงม.1 (แยกเดือน)'!$H$155+'[2]สงม.1 (แยกเดือน)'!$I$155</f>
        <v>11988954.5</v>
      </c>
      <c r="E9" s="55">
        <f>9578470.48</f>
        <v>9578470.4800000004</v>
      </c>
      <c r="F9" s="56">
        <f t="shared" si="0"/>
        <v>79.894126547898736</v>
      </c>
      <c r="G9" s="33"/>
      <c r="H9" s="53"/>
      <c r="I9" s="59"/>
    </row>
    <row r="10" spans="1:14" s="35" customFormat="1" ht="30.75" customHeight="1" thickBot="1" x14ac:dyDescent="0.6">
      <c r="B10" s="36" t="s">
        <v>12</v>
      </c>
      <c r="C10" s="37">
        <f>SUM(C6:C9)</f>
        <v>230439393</v>
      </c>
      <c r="D10" s="37">
        <f>SUM(D6:D9)</f>
        <v>111110362</v>
      </c>
      <c r="E10" s="37">
        <f>SUM(E6:E9)</f>
        <v>62319519.269999996</v>
      </c>
      <c r="F10" s="38">
        <f t="shared" si="0"/>
        <v>56.087945487928479</v>
      </c>
      <c r="G10" s="33"/>
      <c r="H10" s="39"/>
      <c r="I10" s="40"/>
      <c r="J10" s="44"/>
      <c r="K10" s="44"/>
      <c r="L10" s="44"/>
      <c r="M10" s="44"/>
      <c r="N10" s="44"/>
    </row>
    <row r="11" spans="1:14" ht="27.75" customHeight="1" thickTop="1" x14ac:dyDescent="0.55000000000000004">
      <c r="B11" s="54" t="s">
        <v>25</v>
      </c>
      <c r="C11" s="57">
        <v>458000</v>
      </c>
      <c r="D11" s="57">
        <f>38200*6</f>
        <v>229200</v>
      </c>
      <c r="E11" s="57">
        <v>64345</v>
      </c>
      <c r="F11" s="58">
        <f t="shared" si="0"/>
        <v>28.073734729493893</v>
      </c>
      <c r="G11" s="33"/>
      <c r="H11" s="53"/>
    </row>
    <row r="12" spans="1:14" s="35" customFormat="1" ht="30.75" customHeight="1" thickBot="1" x14ac:dyDescent="0.6">
      <c r="B12" s="60" t="s">
        <v>13</v>
      </c>
      <c r="C12" s="61">
        <f>+C10+C11</f>
        <v>230897393</v>
      </c>
      <c r="D12" s="61">
        <f>+D10+D11</f>
        <v>111339562</v>
      </c>
      <c r="E12" s="61">
        <f>+E10+E11</f>
        <v>62383864.269999996</v>
      </c>
      <c r="F12" s="62">
        <f t="shared" si="0"/>
        <v>56.030276345078491</v>
      </c>
      <c r="G12" s="34"/>
      <c r="H12" s="53"/>
      <c r="I12" s="41">
        <f>C12/2</f>
        <v>115448696.5</v>
      </c>
    </row>
    <row r="13" spans="1:14" s="35" customFormat="1" ht="11.25" customHeight="1" thickTop="1" x14ac:dyDescent="0.55000000000000004">
      <c r="B13" s="63"/>
      <c r="C13" s="64"/>
      <c r="D13" s="64"/>
      <c r="E13" s="64"/>
      <c r="F13" s="65"/>
      <c r="G13" s="53"/>
      <c r="H13" s="53"/>
    </row>
    <row r="14" spans="1:14" x14ac:dyDescent="0.55000000000000004">
      <c r="A14" s="44" t="s">
        <v>48</v>
      </c>
    </row>
    <row r="15" spans="1:14" x14ac:dyDescent="0.55000000000000004">
      <c r="B15" s="44" t="s">
        <v>42</v>
      </c>
      <c r="I15" s="66"/>
    </row>
    <row r="16" spans="1:14" x14ac:dyDescent="0.55000000000000004">
      <c r="B16" s="44" t="s">
        <v>43</v>
      </c>
      <c r="I16" s="66"/>
    </row>
    <row r="17" spans="1:9" x14ac:dyDescent="0.55000000000000004">
      <c r="A17" s="44" t="s">
        <v>16</v>
      </c>
      <c r="B17" s="44" t="s">
        <v>41</v>
      </c>
      <c r="I17" s="66"/>
    </row>
    <row r="18" spans="1:9" ht="17.25" customHeight="1" x14ac:dyDescent="0.55000000000000004">
      <c r="A18" s="44" t="s">
        <v>16</v>
      </c>
    </row>
    <row r="19" spans="1:9" ht="18" customHeight="1" x14ac:dyDescent="0.55000000000000004">
      <c r="I19" s="59"/>
    </row>
    <row r="20" spans="1:9" ht="17.25" customHeight="1" x14ac:dyDescent="0.55000000000000004"/>
    <row r="21" spans="1:9" ht="17.25" customHeight="1" x14ac:dyDescent="0.55000000000000004"/>
    <row r="22" spans="1:9" ht="17.25" customHeight="1" x14ac:dyDescent="0.55000000000000004"/>
    <row r="23" spans="1:9" x14ac:dyDescent="0.55000000000000004">
      <c r="F23" s="44" t="s">
        <v>17</v>
      </c>
    </row>
    <row r="24" spans="1:9" x14ac:dyDescent="0.55000000000000004">
      <c r="F24" s="67" t="s">
        <v>19</v>
      </c>
    </row>
    <row r="25" spans="1:9" x14ac:dyDescent="0.55000000000000004">
      <c r="F25" s="67" t="s">
        <v>28</v>
      </c>
    </row>
    <row r="26" spans="1:9" x14ac:dyDescent="0.55000000000000004">
      <c r="F26" s="67" t="s">
        <v>29</v>
      </c>
    </row>
  </sheetData>
  <mergeCells count="3">
    <mergeCell ref="G3:G5"/>
    <mergeCell ref="D3:F3"/>
    <mergeCell ref="B3:B5"/>
  </mergeCells>
  <pageMargins left="0.51181102362204722" right="0.51181102362204722" top="0.47244094488188981" bottom="0.19685039370078741" header="0.31496062992125984" footer="0.31496062992125984"/>
  <pageSetup paperSize="9" scale="99" fitToHeight="0" orientation="landscape" horizontalDpi="4294967295" verticalDpi="4294967295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8180F-CCAF-4939-B114-3F1739B4C4C4}">
  <sheetPr>
    <tabColor rgb="FF00B050"/>
    <pageSetUpPr fitToPage="1"/>
  </sheetPr>
  <dimension ref="A1:N22"/>
  <sheetViews>
    <sheetView topLeftCell="A10" workbookViewId="0">
      <selection activeCell="D3" sqref="D3:G5"/>
    </sheetView>
  </sheetViews>
  <sheetFormatPr defaultColWidth="9" defaultRowHeight="24" x14ac:dyDescent="0.55000000000000004"/>
  <cols>
    <col min="1" max="1" width="3.125" style="44" customWidth="1"/>
    <col min="2" max="2" width="29.125" style="44" customWidth="1"/>
    <col min="3" max="3" width="16.125" style="44" customWidth="1"/>
    <col min="4" max="5" width="17.375" style="44" customWidth="1"/>
    <col min="6" max="6" width="11" style="44" customWidth="1"/>
    <col min="7" max="7" width="33.75" style="44" customWidth="1"/>
    <col min="8" max="8" width="4.75" style="44" customWidth="1"/>
    <col min="9" max="9" width="15.75" style="44" bestFit="1" customWidth="1"/>
    <col min="10" max="10" width="14.375" style="44" bestFit="1" customWidth="1"/>
    <col min="11" max="11" width="9" style="44"/>
    <col min="12" max="12" width="14.375" style="44" bestFit="1" customWidth="1"/>
    <col min="13" max="16384" width="9" style="44"/>
  </cols>
  <sheetData>
    <row r="1" spans="1:14" x14ac:dyDescent="0.55000000000000004">
      <c r="A1" s="35" t="s">
        <v>0</v>
      </c>
    </row>
    <row r="2" spans="1:14" x14ac:dyDescent="0.55000000000000004">
      <c r="A2" s="35" t="s">
        <v>1</v>
      </c>
      <c r="G2" s="45"/>
    </row>
    <row r="3" spans="1:14" x14ac:dyDescent="0.55000000000000004">
      <c r="B3" s="163" t="s">
        <v>36</v>
      </c>
      <c r="C3" s="46" t="s">
        <v>3</v>
      </c>
      <c r="D3" s="166" t="s">
        <v>37</v>
      </c>
      <c r="E3" s="167"/>
      <c r="F3" s="168"/>
      <c r="G3" s="169" t="s">
        <v>11</v>
      </c>
      <c r="H3" s="47"/>
      <c r="I3" s="44" t="s">
        <v>49</v>
      </c>
      <c r="J3" s="66">
        <f>2812000+225000+2102300+66900+7758463</f>
        <v>12964663</v>
      </c>
    </row>
    <row r="4" spans="1:14" x14ac:dyDescent="0.55000000000000004">
      <c r="B4" s="164"/>
      <c r="C4" s="48" t="s">
        <v>4</v>
      </c>
      <c r="D4" s="46" t="s">
        <v>39</v>
      </c>
      <c r="E4" s="46" t="s">
        <v>38</v>
      </c>
      <c r="F4" s="46" t="s">
        <v>9</v>
      </c>
      <c r="G4" s="170"/>
      <c r="H4" s="47"/>
      <c r="I4" s="75"/>
      <c r="J4" s="76">
        <f>J3/12</f>
        <v>1080388.5833333333</v>
      </c>
      <c r="K4" s="47"/>
      <c r="L4" s="47"/>
      <c r="M4" s="47"/>
      <c r="N4" s="47"/>
    </row>
    <row r="5" spans="1:14" x14ac:dyDescent="0.55000000000000004">
      <c r="B5" s="165"/>
      <c r="C5" s="49" t="s">
        <v>5</v>
      </c>
      <c r="D5" s="49" t="s">
        <v>8</v>
      </c>
      <c r="E5" s="49" t="s">
        <v>8</v>
      </c>
      <c r="F5" s="49" t="s">
        <v>40</v>
      </c>
      <c r="G5" s="171"/>
      <c r="H5" s="47"/>
      <c r="I5" s="47"/>
      <c r="J5" s="47"/>
      <c r="K5" s="47"/>
      <c r="L5" s="47"/>
      <c r="M5" s="47"/>
      <c r="N5" s="47"/>
    </row>
    <row r="6" spans="1:14" ht="27.75" customHeight="1" x14ac:dyDescent="0.55000000000000004">
      <c r="B6" s="69" t="s">
        <v>44</v>
      </c>
      <c r="C6" s="71">
        <v>92681823</v>
      </c>
      <c r="D6" s="70">
        <f>'[2]สงม.1 (แยกเดือน)'!$D$153+'[2]สงม.1 (แยกเดือน)'!$E$153+'[2]สงม.1 (แยกเดือน)'!$F$153+'[2]สงม.1 (แยกเดือน)'!$G$153+'[2]สงม.1 (แยกเดือน)'!$H$153+'[2]สงม.1 (แยกเดือน)'!$I$153+J4</f>
        <v>52552711.083333336</v>
      </c>
      <c r="E6" s="71">
        <f>24912136.79</f>
        <v>24912136.789999999</v>
      </c>
      <c r="F6" s="72">
        <f t="shared" ref="F6:F12" si="0">E6*100/D6</f>
        <v>47.404094434817239</v>
      </c>
      <c r="G6" s="32"/>
      <c r="H6" s="53"/>
      <c r="I6" s="51">
        <f>24715945.49-24912136.79</f>
        <v>-196191.30000000075</v>
      </c>
      <c r="J6" s="44">
        <f>83366860+12964663</f>
        <v>96331523</v>
      </c>
    </row>
    <row r="7" spans="1:14" ht="27.75" customHeight="1" x14ac:dyDescent="0.55000000000000004">
      <c r="B7" s="73" t="s">
        <v>45</v>
      </c>
      <c r="C7" s="74">
        <f>791830+9701000</f>
        <v>10492830</v>
      </c>
      <c r="D7" s="74">
        <f>791290+648000+595990</f>
        <v>2035280</v>
      </c>
      <c r="E7" s="74">
        <f>791290+595990</f>
        <v>1387280</v>
      </c>
      <c r="F7" s="72">
        <f t="shared" si="0"/>
        <v>68.161628866789826</v>
      </c>
      <c r="G7" s="33"/>
      <c r="H7" s="53"/>
    </row>
    <row r="8" spans="1:14" ht="27.75" customHeight="1" x14ac:dyDescent="0.55000000000000004">
      <c r="B8" s="73" t="s">
        <v>46</v>
      </c>
      <c r="C8" s="74">
        <f>59792400</f>
        <v>59792400</v>
      </c>
      <c r="D8" s="74">
        <f>'[2]สงม.1 (แยกเดือน)'!$D$154+'[2]สงม.1 (แยกเดือน)'!$E$154+'[2]สงม.1 (แยกเดือน)'!$F$154+'[2]สงม.1 (แยกเดือน)'!$G$154+'[2]สงม.1 (แยกเดือน)'!$H$154+'[2]สงม.1 (แยกเดือน)'!$I$154</f>
        <v>29896200</v>
      </c>
      <c r="E8" s="74">
        <f>25189061</f>
        <v>25189061</v>
      </c>
      <c r="F8" s="72">
        <f t="shared" si="0"/>
        <v>84.255059171399708</v>
      </c>
      <c r="G8" s="33"/>
      <c r="H8" s="53"/>
    </row>
    <row r="9" spans="1:14" ht="27.75" customHeight="1" x14ac:dyDescent="0.55000000000000004">
      <c r="B9" s="73" t="s">
        <v>47</v>
      </c>
      <c r="C9" s="74">
        <v>63822640</v>
      </c>
      <c r="D9" s="74">
        <f>'[2]สงม.1 (แยกเดือน)'!$D$155+'[2]สงม.1 (แยกเดือน)'!$E$155+'[2]สงม.1 (แยกเดือน)'!$F$155+'[2]สงม.1 (แยกเดือน)'!$G$155+'[2]สงม.1 (แยกเดือน)'!$H$155+'[2]สงม.1 (แยกเดือน)'!$I$155+'[2]สงม.1 (แยกเดือน)'!$D$158+'[2]สงม.1 (แยกเดือน)'!$E$158+'[2]สงม.1 (แยกเดือน)'!$F$158+'[2]สงม.1 (แยกเดือน)'!$G$158+'[2]สงม.1 (แยกเดือน)'!$H$158+'[2]สงม.1 (แยกเดือน)'!$I$158</f>
        <v>27706559.5</v>
      </c>
      <c r="E9" s="74">
        <f>9578470.48+300000</f>
        <v>9878470.4800000004</v>
      </c>
      <c r="F9" s="72">
        <f t="shared" si="0"/>
        <v>35.653905278278955</v>
      </c>
      <c r="G9" s="33"/>
      <c r="H9" s="53"/>
      <c r="I9" s="59"/>
    </row>
    <row r="10" spans="1:14" s="35" customFormat="1" ht="30.75" customHeight="1" thickBot="1" x14ac:dyDescent="0.6">
      <c r="B10" s="36" t="s">
        <v>12</v>
      </c>
      <c r="C10" s="37">
        <f>SUM(C6:C9)</f>
        <v>226789693</v>
      </c>
      <c r="D10" s="37">
        <f>SUM(D6:D9)</f>
        <v>112190750.58333334</v>
      </c>
      <c r="E10" s="37">
        <f>SUM(E6:E9)</f>
        <v>61366948.269999996</v>
      </c>
      <c r="F10" s="38">
        <f t="shared" si="0"/>
        <v>54.698758989421052</v>
      </c>
      <c r="G10" s="33"/>
      <c r="H10" s="39"/>
      <c r="I10" s="40"/>
      <c r="J10" s="44"/>
      <c r="K10" s="44"/>
      <c r="L10" s="44"/>
      <c r="M10" s="44"/>
      <c r="N10" s="44"/>
    </row>
    <row r="11" spans="1:14" ht="27.75" customHeight="1" thickTop="1" x14ac:dyDescent="0.55000000000000004">
      <c r="B11" s="73" t="s">
        <v>25</v>
      </c>
      <c r="C11" s="74">
        <f>119900+98100+240000</f>
        <v>458000</v>
      </c>
      <c r="D11" s="74">
        <f>(10900+10900+10900+10900)+(10900+10900+10900)</f>
        <v>76300</v>
      </c>
      <c r="E11" s="74">
        <v>64345</v>
      </c>
      <c r="F11" s="72">
        <f t="shared" si="0"/>
        <v>84.33158584534732</v>
      </c>
      <c r="G11" s="33"/>
      <c r="H11" s="53"/>
    </row>
    <row r="12" spans="1:14" s="35" customFormat="1" ht="30.75" customHeight="1" thickBot="1" x14ac:dyDescent="0.6">
      <c r="B12" s="36" t="s">
        <v>13</v>
      </c>
      <c r="C12" s="37">
        <f>+C10+C11</f>
        <v>227247693</v>
      </c>
      <c r="D12" s="37">
        <f>+D10+D11</f>
        <v>112267050.58333334</v>
      </c>
      <c r="E12" s="37">
        <f>+E10+E11</f>
        <v>61431293.269999996</v>
      </c>
      <c r="F12" s="38">
        <f t="shared" si="0"/>
        <v>54.71889833286474</v>
      </c>
      <c r="G12" s="34"/>
      <c r="H12" s="53"/>
      <c r="I12" s="41">
        <f>C12/2</f>
        <v>113623846.5</v>
      </c>
    </row>
    <row r="13" spans="1:14" s="35" customFormat="1" ht="11.25" customHeight="1" thickTop="1" x14ac:dyDescent="0.55000000000000004">
      <c r="B13" s="63"/>
      <c r="C13" s="64"/>
      <c r="D13" s="64"/>
      <c r="E13" s="64"/>
      <c r="F13" s="65"/>
      <c r="G13" s="53"/>
      <c r="H13" s="53"/>
    </row>
    <row r="14" spans="1:14" x14ac:dyDescent="0.55000000000000004">
      <c r="A14" s="78" t="s">
        <v>53</v>
      </c>
      <c r="B14" s="78"/>
    </row>
    <row r="15" spans="1:14" x14ac:dyDescent="0.55000000000000004">
      <c r="A15" s="78"/>
      <c r="B15" s="78" t="s">
        <v>42</v>
      </c>
      <c r="I15" s="66"/>
    </row>
    <row r="16" spans="1:14" x14ac:dyDescent="0.55000000000000004">
      <c r="A16" s="78"/>
      <c r="B16" s="78" t="s">
        <v>43</v>
      </c>
      <c r="I16" s="66"/>
    </row>
    <row r="17" spans="1:9" x14ac:dyDescent="0.55000000000000004">
      <c r="A17" s="78" t="s">
        <v>16</v>
      </c>
      <c r="B17" s="78" t="s">
        <v>41</v>
      </c>
      <c r="I17" s="66"/>
    </row>
    <row r="18" spans="1:9" ht="24" customHeight="1" x14ac:dyDescent="0.55000000000000004"/>
    <row r="19" spans="1:9" x14ac:dyDescent="0.55000000000000004">
      <c r="F19" s="44" t="s">
        <v>17</v>
      </c>
    </row>
    <row r="20" spans="1:9" x14ac:dyDescent="0.55000000000000004">
      <c r="F20" s="77" t="s">
        <v>50</v>
      </c>
    </row>
    <row r="21" spans="1:9" x14ac:dyDescent="0.55000000000000004">
      <c r="F21" s="77" t="s">
        <v>51</v>
      </c>
    </row>
    <row r="22" spans="1:9" x14ac:dyDescent="0.55000000000000004">
      <c r="F22" s="77" t="s">
        <v>52</v>
      </c>
    </row>
  </sheetData>
  <mergeCells count="3">
    <mergeCell ref="B3:B5"/>
    <mergeCell ref="D3:F3"/>
    <mergeCell ref="G3:G5"/>
  </mergeCells>
  <pageMargins left="0.51181102362204722" right="0.51181102362204722" top="0.47244094488188981" bottom="0.19685039370078741" header="0.31496062992125984" footer="0.31496062992125984"/>
  <pageSetup paperSize="9" scale="99" fitToHeight="0" orientation="landscape" horizontalDpi="4294967295" verticalDpi="4294967295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14C9D-BC10-4B6E-BE85-C899179D5E36}">
  <sheetPr>
    <tabColor rgb="FF00B050"/>
    <pageSetUpPr fitToPage="1"/>
  </sheetPr>
  <dimension ref="A1:O22"/>
  <sheetViews>
    <sheetView workbookViewId="0">
      <selection activeCell="D3" sqref="D3:G5"/>
    </sheetView>
  </sheetViews>
  <sheetFormatPr defaultColWidth="9" defaultRowHeight="24" x14ac:dyDescent="0.55000000000000004"/>
  <cols>
    <col min="1" max="1" width="3.125" style="44" customWidth="1"/>
    <col min="2" max="2" width="29.125" style="44" customWidth="1"/>
    <col min="3" max="3" width="16.125" style="44" customWidth="1"/>
    <col min="4" max="5" width="17.375" style="44" customWidth="1"/>
    <col min="6" max="7" width="11" style="44" customWidth="1"/>
    <col min="8" max="8" width="28.75" style="44" customWidth="1"/>
    <col min="9" max="9" width="4.75" style="44" customWidth="1"/>
    <col min="10" max="10" width="15.75" style="44" bestFit="1" customWidth="1"/>
    <col min="11" max="11" width="14.375" style="44" bestFit="1" customWidth="1"/>
    <col min="12" max="12" width="9" style="44"/>
    <col min="13" max="13" width="14.375" style="44" bestFit="1" customWidth="1"/>
    <col min="14" max="16384" width="9" style="44"/>
  </cols>
  <sheetData>
    <row r="1" spans="1:15" x14ac:dyDescent="0.55000000000000004">
      <c r="A1" s="35" t="s">
        <v>0</v>
      </c>
    </row>
    <row r="2" spans="1:15" x14ac:dyDescent="0.55000000000000004">
      <c r="A2" s="35" t="s">
        <v>1</v>
      </c>
      <c r="H2" s="45"/>
    </row>
    <row r="3" spans="1:15" x14ac:dyDescent="0.55000000000000004">
      <c r="B3" s="163" t="s">
        <v>36</v>
      </c>
      <c r="C3" s="46" t="s">
        <v>3</v>
      </c>
      <c r="D3" s="166" t="s">
        <v>55</v>
      </c>
      <c r="E3" s="167"/>
      <c r="F3" s="168"/>
      <c r="G3" s="68" t="s">
        <v>9</v>
      </c>
      <c r="H3" s="169" t="s">
        <v>11</v>
      </c>
      <c r="I3" s="47"/>
      <c r="J3" s="44" t="s">
        <v>49</v>
      </c>
      <c r="K3" s="66">
        <f>2812000+225000+2102300+66900+7758463</f>
        <v>12964663</v>
      </c>
    </row>
    <row r="4" spans="1:15" x14ac:dyDescent="0.55000000000000004">
      <c r="B4" s="164"/>
      <c r="C4" s="48" t="s">
        <v>4</v>
      </c>
      <c r="D4" s="46" t="s">
        <v>39</v>
      </c>
      <c r="E4" s="46" t="s">
        <v>38</v>
      </c>
      <c r="F4" s="46" t="s">
        <v>9</v>
      </c>
      <c r="G4" s="48" t="s">
        <v>40</v>
      </c>
      <c r="H4" s="170"/>
      <c r="I4" s="47"/>
      <c r="J4" s="75"/>
      <c r="K4" s="76">
        <f>K3/12</f>
        <v>1080388.5833333333</v>
      </c>
      <c r="L4" s="47"/>
      <c r="M4" s="47"/>
      <c r="N4" s="47"/>
      <c r="O4" s="47"/>
    </row>
    <row r="5" spans="1:15" x14ac:dyDescent="0.55000000000000004">
      <c r="B5" s="165"/>
      <c r="C5" s="49" t="s">
        <v>57</v>
      </c>
      <c r="D5" s="49" t="s">
        <v>8</v>
      </c>
      <c r="E5" s="49" t="s">
        <v>8</v>
      </c>
      <c r="F5" s="49" t="s">
        <v>40</v>
      </c>
      <c r="G5" s="79" t="s">
        <v>56</v>
      </c>
      <c r="H5" s="171"/>
      <c r="I5" s="47"/>
      <c r="J5" s="47"/>
      <c r="K5" s="47"/>
      <c r="L5" s="47"/>
      <c r="M5" s="47"/>
      <c r="N5" s="47"/>
      <c r="O5" s="47"/>
    </row>
    <row r="6" spans="1:15" ht="27.75" customHeight="1" x14ac:dyDescent="0.55000000000000004">
      <c r="B6" s="69" t="s">
        <v>44</v>
      </c>
      <c r="C6" s="71">
        <v>92681823</v>
      </c>
      <c r="D6" s="70">
        <f>'[2]สงม.1 (แยกเดือน)'!$D$153+'[2]สงม.1 (แยกเดือน)'!$E$153+'[2]สงม.1 (แยกเดือน)'!$F$153+'[2]สงม.1 (แยกเดือน)'!$G$153+'[2]สงม.1 (แยกเดือน)'!$H$153+'[2]สงม.1 (แยกเดือน)'!$I$153+K4</f>
        <v>52552711.083333336</v>
      </c>
      <c r="E6" s="71">
        <v>37373071.909999996</v>
      </c>
      <c r="F6" s="72">
        <f>E6*100/D6</f>
        <v>71.115402306718593</v>
      </c>
      <c r="G6" s="72">
        <f>E6*100/C6</f>
        <v>40.32405783602249</v>
      </c>
      <c r="H6" s="32"/>
      <c r="I6" s="53"/>
      <c r="J6" s="51">
        <f>24715945.49-24912136.79</f>
        <v>-196191.30000000075</v>
      </c>
      <c r="K6" s="44">
        <f>83366860+12964663</f>
        <v>96331523</v>
      </c>
    </row>
    <row r="7" spans="1:15" ht="27.75" customHeight="1" x14ac:dyDescent="0.55000000000000004">
      <c r="B7" s="73" t="s">
        <v>45</v>
      </c>
      <c r="C7" s="74">
        <f>791830+9701000</f>
        <v>10492830</v>
      </c>
      <c r="D7" s="74">
        <f>791290+648000+595990</f>
        <v>2035280</v>
      </c>
      <c r="E7" s="74">
        <v>2035280</v>
      </c>
      <c r="F7" s="72">
        <f t="shared" ref="F7:F12" si="0">E7*100/D7</f>
        <v>100</v>
      </c>
      <c r="G7" s="72">
        <f t="shared" ref="G7:G12" si="1">E7*100/C7</f>
        <v>19.39686433497922</v>
      </c>
      <c r="H7" s="33"/>
      <c r="I7" s="53"/>
    </row>
    <row r="8" spans="1:15" ht="27.75" customHeight="1" x14ac:dyDescent="0.55000000000000004">
      <c r="B8" s="73" t="s">
        <v>46</v>
      </c>
      <c r="C8" s="74">
        <f>59792400</f>
        <v>59792400</v>
      </c>
      <c r="D8" s="74">
        <f>'[2]สงม.1 (แยกเดือน)'!$D$154+'[2]สงม.1 (แยกเดือน)'!$E$154+'[2]สงม.1 (แยกเดือน)'!$F$154+'[2]สงม.1 (แยกเดือน)'!$G$154+'[2]สงม.1 (แยกเดือน)'!$H$154+'[2]สงม.1 (แยกเดือน)'!$I$154</f>
        <v>29896200</v>
      </c>
      <c r="E8" s="74">
        <v>25468186</v>
      </c>
      <c r="F8" s="72">
        <f t="shared" si="0"/>
        <v>85.188706256982499</v>
      </c>
      <c r="G8" s="72">
        <f t="shared" si="1"/>
        <v>42.59435312849125</v>
      </c>
      <c r="H8" s="33"/>
      <c r="I8" s="53"/>
    </row>
    <row r="9" spans="1:15" ht="27.75" customHeight="1" x14ac:dyDescent="0.55000000000000004">
      <c r="B9" s="73" t="s">
        <v>47</v>
      </c>
      <c r="C9" s="74">
        <v>63822640</v>
      </c>
      <c r="D9" s="74">
        <f>'[2]สงม.1 (แยกเดือน)'!$D$155+'[2]สงม.1 (แยกเดือน)'!$E$155+'[2]สงม.1 (แยกเดือน)'!$F$155+'[2]สงม.1 (แยกเดือน)'!$G$155+'[2]สงม.1 (แยกเดือน)'!$H$155+'[2]สงม.1 (แยกเดือน)'!$I$155+'[2]สงม.1 (แยกเดือน)'!$D$158+'[2]สงม.1 (แยกเดือน)'!$E$158+'[2]สงม.1 (แยกเดือน)'!$F$158+'[2]สงม.1 (แยกเดือน)'!$G$158+'[2]สงม.1 (แยกเดือน)'!$H$158+'[2]สงม.1 (แยกเดือน)'!$I$158</f>
        <v>27706559.5</v>
      </c>
      <c r="E9" s="74">
        <v>11001183.48</v>
      </c>
      <c r="F9" s="72">
        <f t="shared" si="0"/>
        <v>39.70606123073491</v>
      </c>
      <c r="G9" s="72">
        <f t="shared" si="1"/>
        <v>17.237117549509076</v>
      </c>
      <c r="H9" s="33"/>
      <c r="I9" s="53"/>
      <c r="J9" s="59"/>
    </row>
    <row r="10" spans="1:15" s="35" customFormat="1" ht="30.75" customHeight="1" thickBot="1" x14ac:dyDescent="0.6">
      <c r="B10" s="36" t="s">
        <v>12</v>
      </c>
      <c r="C10" s="37">
        <f>SUM(C6:C9)</f>
        <v>226789693</v>
      </c>
      <c r="D10" s="37">
        <f>SUM(D6:D9)</f>
        <v>112190750.58333334</v>
      </c>
      <c r="E10" s="37">
        <f>SUM(E6:E9)</f>
        <v>75877721.390000001</v>
      </c>
      <c r="F10" s="38">
        <f t="shared" si="0"/>
        <v>67.632778099331233</v>
      </c>
      <c r="G10" s="38">
        <f>E10*100/C10</f>
        <v>33.457305923510376</v>
      </c>
      <c r="H10" s="33"/>
      <c r="I10" s="39"/>
      <c r="J10" s="40"/>
      <c r="K10" s="44"/>
      <c r="L10" s="44"/>
      <c r="M10" s="44"/>
      <c r="N10" s="44"/>
      <c r="O10" s="44"/>
    </row>
    <row r="11" spans="1:15" ht="27.75" customHeight="1" thickTop="1" x14ac:dyDescent="0.55000000000000004">
      <c r="B11" s="73" t="s">
        <v>25</v>
      </c>
      <c r="C11" s="74">
        <f>119900+98100+240000</f>
        <v>458000</v>
      </c>
      <c r="D11" s="74">
        <v>126495</v>
      </c>
      <c r="E11" s="74">
        <v>126495</v>
      </c>
      <c r="F11" s="72">
        <f t="shared" si="0"/>
        <v>100</v>
      </c>
      <c r="G11" s="72">
        <f>E11*100/C11</f>
        <v>27.618995633187772</v>
      </c>
      <c r="H11" s="33"/>
      <c r="I11" s="53"/>
    </row>
    <row r="12" spans="1:15" s="35" customFormat="1" ht="30.75" customHeight="1" thickBot="1" x14ac:dyDescent="0.6">
      <c r="B12" s="36" t="s">
        <v>13</v>
      </c>
      <c r="C12" s="37">
        <f>+C10+C11</f>
        <v>227247693</v>
      </c>
      <c r="D12" s="37">
        <f>+D10+D11</f>
        <v>112317245.58333334</v>
      </c>
      <c r="E12" s="37">
        <f>+E10+E11</f>
        <v>76004216.390000001</v>
      </c>
      <c r="F12" s="38">
        <f t="shared" si="0"/>
        <v>67.669231020813243</v>
      </c>
      <c r="G12" s="38">
        <f t="shared" si="1"/>
        <v>33.445539264506415</v>
      </c>
      <c r="H12" s="34"/>
      <c r="I12" s="53"/>
      <c r="J12" s="41">
        <f>C12/2</f>
        <v>113623846.5</v>
      </c>
    </row>
    <row r="13" spans="1:15" s="35" customFormat="1" ht="11.25" customHeight="1" thickTop="1" x14ac:dyDescent="0.55000000000000004">
      <c r="B13" s="63"/>
      <c r="C13" s="64"/>
      <c r="D13" s="64"/>
      <c r="E13" s="64"/>
      <c r="F13" s="65"/>
      <c r="G13" s="65"/>
      <c r="H13" s="53"/>
      <c r="I13" s="53"/>
    </row>
    <row r="14" spans="1:15" x14ac:dyDescent="0.55000000000000004">
      <c r="A14" s="78" t="s">
        <v>53</v>
      </c>
      <c r="B14" s="78"/>
    </row>
    <row r="15" spans="1:15" x14ac:dyDescent="0.55000000000000004">
      <c r="A15" s="78"/>
      <c r="B15" s="78" t="s">
        <v>42</v>
      </c>
      <c r="J15" s="66"/>
    </row>
    <row r="16" spans="1:15" x14ac:dyDescent="0.55000000000000004">
      <c r="A16" s="78"/>
      <c r="B16" s="78" t="s">
        <v>43</v>
      </c>
      <c r="J16" s="66"/>
    </row>
    <row r="17" spans="1:10" x14ac:dyDescent="0.55000000000000004">
      <c r="A17" s="78" t="s">
        <v>16</v>
      </c>
      <c r="B17" s="78" t="s">
        <v>54</v>
      </c>
      <c r="J17" s="66"/>
    </row>
    <row r="18" spans="1:10" ht="24" customHeight="1" x14ac:dyDescent="0.55000000000000004"/>
    <row r="19" spans="1:10" x14ac:dyDescent="0.55000000000000004">
      <c r="F19" s="44" t="s">
        <v>17</v>
      </c>
    </row>
    <row r="20" spans="1:10" x14ac:dyDescent="0.55000000000000004">
      <c r="F20" s="77" t="s">
        <v>50</v>
      </c>
      <c r="G20" s="77"/>
    </row>
    <row r="21" spans="1:10" x14ac:dyDescent="0.55000000000000004">
      <c r="F21" s="77" t="s">
        <v>51</v>
      </c>
      <c r="G21" s="77"/>
    </row>
    <row r="22" spans="1:10" x14ac:dyDescent="0.55000000000000004">
      <c r="F22" s="77" t="s">
        <v>52</v>
      </c>
      <c r="G22" s="77"/>
    </row>
  </sheetData>
  <mergeCells count="3">
    <mergeCell ref="B3:B5"/>
    <mergeCell ref="D3:F3"/>
    <mergeCell ref="H3:H5"/>
  </mergeCells>
  <pageMargins left="0.51181102362204722" right="0.51181102362204722" top="0.47244094488188981" bottom="0.19685039370078741" header="0.31496062992125984" footer="0.31496062992125984"/>
  <pageSetup paperSize="9" scale="95" fitToHeight="0" orientation="landscape" horizontalDpi="4294967295" verticalDpi="4294967295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83A70-B78D-4A68-94F1-59A4A661A1B3}">
  <sheetPr>
    <tabColor rgb="FF00B050"/>
    <pageSetUpPr fitToPage="1"/>
  </sheetPr>
  <dimension ref="A1:O22"/>
  <sheetViews>
    <sheetView workbookViewId="0">
      <selection activeCell="D3" sqref="D3:G5"/>
    </sheetView>
  </sheetViews>
  <sheetFormatPr defaultColWidth="9" defaultRowHeight="24" x14ac:dyDescent="0.55000000000000004"/>
  <cols>
    <col min="1" max="1" width="3.125" style="44" customWidth="1"/>
    <col min="2" max="2" width="29.125" style="44" customWidth="1"/>
    <col min="3" max="3" width="16.125" style="44" customWidth="1"/>
    <col min="4" max="5" width="17.375" style="44" customWidth="1"/>
    <col min="6" max="7" width="11" style="44" customWidth="1"/>
    <col min="8" max="8" width="28.75" style="44" customWidth="1"/>
    <col min="9" max="9" width="4.75" style="44" customWidth="1"/>
    <col min="10" max="10" width="15.75" style="44" bestFit="1" customWidth="1"/>
    <col min="11" max="11" width="14.375" style="44" bestFit="1" customWidth="1"/>
    <col min="12" max="12" width="9" style="44"/>
    <col min="13" max="13" width="14.375" style="44" bestFit="1" customWidth="1"/>
    <col min="14" max="16384" width="9" style="44"/>
  </cols>
  <sheetData>
    <row r="1" spans="1:15" x14ac:dyDescent="0.55000000000000004">
      <c r="A1" s="35" t="s">
        <v>0</v>
      </c>
    </row>
    <row r="2" spans="1:15" x14ac:dyDescent="0.55000000000000004">
      <c r="A2" s="35" t="s">
        <v>1</v>
      </c>
      <c r="H2" s="45"/>
    </row>
    <row r="3" spans="1:15" x14ac:dyDescent="0.55000000000000004">
      <c r="B3" s="163" t="s">
        <v>36</v>
      </c>
      <c r="C3" s="46" t="s">
        <v>3</v>
      </c>
      <c r="D3" s="166" t="s">
        <v>60</v>
      </c>
      <c r="E3" s="167"/>
      <c r="F3" s="168"/>
      <c r="G3" s="68" t="s">
        <v>9</v>
      </c>
      <c r="H3" s="169" t="s">
        <v>11</v>
      </c>
      <c r="I3" s="47"/>
      <c r="J3" s="44" t="s">
        <v>49</v>
      </c>
      <c r="K3" s="66">
        <f>2812000+225000+2102300+66900+7758463</f>
        <v>12964663</v>
      </c>
    </row>
    <row r="4" spans="1:15" x14ac:dyDescent="0.55000000000000004">
      <c r="B4" s="164"/>
      <c r="C4" s="48" t="s">
        <v>4</v>
      </c>
      <c r="D4" s="46" t="s">
        <v>39</v>
      </c>
      <c r="E4" s="46" t="s">
        <v>38</v>
      </c>
      <c r="F4" s="46" t="s">
        <v>9</v>
      </c>
      <c r="G4" s="48" t="s">
        <v>40</v>
      </c>
      <c r="H4" s="170"/>
      <c r="I4" s="47"/>
      <c r="J4" s="75"/>
      <c r="K4" s="76">
        <f>K3/12</f>
        <v>1080388.5833333333</v>
      </c>
      <c r="L4" s="47"/>
      <c r="M4" s="47"/>
      <c r="N4" s="47"/>
      <c r="O4" s="47"/>
    </row>
    <row r="5" spans="1:15" x14ac:dyDescent="0.55000000000000004">
      <c r="B5" s="165"/>
      <c r="C5" s="49" t="s">
        <v>57</v>
      </c>
      <c r="D5" s="49" t="s">
        <v>8</v>
      </c>
      <c r="E5" s="49" t="s">
        <v>8</v>
      </c>
      <c r="F5" s="49" t="s">
        <v>40</v>
      </c>
      <c r="G5" s="79" t="s">
        <v>56</v>
      </c>
      <c r="H5" s="171"/>
      <c r="I5" s="47"/>
      <c r="J5" s="47"/>
      <c r="K5" s="47"/>
      <c r="L5" s="47"/>
      <c r="M5" s="47"/>
      <c r="N5" s="47"/>
      <c r="O5" s="47"/>
    </row>
    <row r="6" spans="1:15" ht="27.75" customHeight="1" x14ac:dyDescent="0.55000000000000004">
      <c r="B6" s="69" t="s">
        <v>44</v>
      </c>
      <c r="C6" s="71">
        <v>92681823</v>
      </c>
      <c r="D6" s="70">
        <f>C6</f>
        <v>92681823</v>
      </c>
      <c r="E6" s="71">
        <f>52674365.99+4197074.68</f>
        <v>56871440.670000002</v>
      </c>
      <c r="F6" s="72">
        <f>E6*100/D6</f>
        <v>61.362022054745296</v>
      </c>
      <c r="G6" s="72">
        <f>E6*100/C6</f>
        <v>61.362022054745296</v>
      </c>
      <c r="H6" s="32"/>
      <c r="I6" s="53"/>
      <c r="J6" s="51">
        <f>24715945.49-24912136.79</f>
        <v>-196191.30000000075</v>
      </c>
      <c r="K6" s="44">
        <f>83366860+12964663</f>
        <v>96331523</v>
      </c>
    </row>
    <row r="7" spans="1:15" ht="27.75" customHeight="1" x14ac:dyDescent="0.55000000000000004">
      <c r="B7" s="73" t="s">
        <v>45</v>
      </c>
      <c r="C7" s="74">
        <f>791830+9701000</f>
        <v>10492830</v>
      </c>
      <c r="D7" s="70">
        <f t="shared" ref="D7:D9" si="0">C7</f>
        <v>10492830</v>
      </c>
      <c r="E7" s="74">
        <f>791290+1243990</f>
        <v>2035280</v>
      </c>
      <c r="F7" s="72">
        <f t="shared" ref="F7:F12" si="1">E7*100/D7</f>
        <v>19.39686433497922</v>
      </c>
      <c r="G7" s="72">
        <f t="shared" ref="G7:G12" si="2">E7*100/C7</f>
        <v>19.39686433497922</v>
      </c>
      <c r="H7" s="33"/>
      <c r="I7" s="53"/>
    </row>
    <row r="8" spans="1:15" ht="27.75" customHeight="1" x14ac:dyDescent="0.55000000000000004">
      <c r="B8" s="73" t="s">
        <v>46</v>
      </c>
      <c r="C8" s="74">
        <f>59792400</f>
        <v>59792400</v>
      </c>
      <c r="D8" s="70">
        <f t="shared" si="0"/>
        <v>59792400</v>
      </c>
      <c r="E8" s="74">
        <f>27398923</f>
        <v>27398923</v>
      </c>
      <c r="F8" s="72">
        <f t="shared" si="1"/>
        <v>45.823420702296616</v>
      </c>
      <c r="G8" s="72">
        <f t="shared" si="2"/>
        <v>45.823420702296616</v>
      </c>
      <c r="H8" s="33"/>
      <c r="I8" s="53"/>
    </row>
    <row r="9" spans="1:15" ht="27.75" customHeight="1" x14ac:dyDescent="0.55000000000000004">
      <c r="B9" s="73" t="s">
        <v>47</v>
      </c>
      <c r="C9" s="74">
        <v>63689289</v>
      </c>
      <c r="D9" s="70">
        <f t="shared" si="0"/>
        <v>63689289</v>
      </c>
      <c r="E9" s="74">
        <f>32660960.87</f>
        <v>32660960.870000001</v>
      </c>
      <c r="F9" s="72">
        <f t="shared" si="1"/>
        <v>51.281716883352239</v>
      </c>
      <c r="G9" s="72">
        <f t="shared" si="2"/>
        <v>51.281716883352239</v>
      </c>
      <c r="H9" s="33"/>
      <c r="I9" s="53"/>
      <c r="J9" s="80" t="s">
        <v>58</v>
      </c>
    </row>
    <row r="10" spans="1:15" s="35" customFormat="1" ht="30.75" customHeight="1" thickBot="1" x14ac:dyDescent="0.6">
      <c r="B10" s="36" t="s">
        <v>12</v>
      </c>
      <c r="C10" s="37">
        <f>SUM(C6:C9)</f>
        <v>226656342</v>
      </c>
      <c r="D10" s="37">
        <f>SUM(D6:D9)</f>
        <v>226656342</v>
      </c>
      <c r="E10" s="37">
        <f>SUM(E6:E9)</f>
        <v>118966604.54000001</v>
      </c>
      <c r="F10" s="38">
        <f t="shared" si="1"/>
        <v>52.487657521623639</v>
      </c>
      <c r="G10" s="38">
        <f>E10*100/C10</f>
        <v>52.487657521623639</v>
      </c>
      <c r="H10" s="33"/>
      <c r="I10" s="39"/>
      <c r="J10" s="80">
        <f>83366860+12964663+791830+9701000+59792400+63689289</f>
        <v>230306042</v>
      </c>
      <c r="K10" s="59">
        <f>C10-J10</f>
        <v>-3649700</v>
      </c>
      <c r="L10" s="44"/>
      <c r="M10" s="44"/>
      <c r="N10" s="44"/>
      <c r="O10" s="44"/>
    </row>
    <row r="11" spans="1:15" ht="27.75" customHeight="1" thickTop="1" x14ac:dyDescent="0.55000000000000004">
      <c r="B11" s="73" t="s">
        <v>25</v>
      </c>
      <c r="C11" s="74">
        <f>3172380+836000+2051280+2013060</f>
        <v>8072720</v>
      </c>
      <c r="D11" s="74">
        <f>C11</f>
        <v>8072720</v>
      </c>
      <c r="E11" s="74">
        <f>2390367+291645</f>
        <v>2682012</v>
      </c>
      <c r="F11" s="72">
        <f t="shared" si="1"/>
        <v>33.223151552388785</v>
      </c>
      <c r="G11" s="72">
        <f>E11*100/C11</f>
        <v>33.223151552388785</v>
      </c>
      <c r="H11" s="33"/>
      <c r="I11" s="53"/>
      <c r="J11" s="66">
        <f>52674365.99+4197074.68+791290+1243990+27398923+32660960.87</f>
        <v>118966604.54000001</v>
      </c>
      <c r="K11" s="59">
        <f>E10-J11</f>
        <v>0</v>
      </c>
    </row>
    <row r="12" spans="1:15" s="35" customFormat="1" ht="30.75" customHeight="1" thickBot="1" x14ac:dyDescent="0.6">
      <c r="B12" s="36" t="s">
        <v>13</v>
      </c>
      <c r="C12" s="37">
        <f>+C10+C11</f>
        <v>234729062</v>
      </c>
      <c r="D12" s="37">
        <f>+D10+D11</f>
        <v>234729062</v>
      </c>
      <c r="E12" s="37">
        <f>+E10+E11</f>
        <v>121648616.54000001</v>
      </c>
      <c r="F12" s="38">
        <f t="shared" si="1"/>
        <v>51.825119353989493</v>
      </c>
      <c r="G12" s="38">
        <f t="shared" si="2"/>
        <v>51.825119353989493</v>
      </c>
      <c r="H12" s="34"/>
      <c r="I12" s="53"/>
      <c r="J12" s="41">
        <f>C12/2</f>
        <v>117364531</v>
      </c>
    </row>
    <row r="13" spans="1:15" s="35" customFormat="1" ht="11.25" customHeight="1" thickTop="1" x14ac:dyDescent="0.55000000000000004">
      <c r="B13" s="63"/>
      <c r="C13" s="64"/>
      <c r="D13" s="64"/>
      <c r="E13" s="64"/>
      <c r="F13" s="65"/>
      <c r="G13" s="65"/>
      <c r="H13" s="53"/>
      <c r="I13" s="53"/>
    </row>
    <row r="14" spans="1:15" x14ac:dyDescent="0.55000000000000004">
      <c r="A14" s="78" t="s">
        <v>53</v>
      </c>
      <c r="B14" s="78"/>
      <c r="J14" s="66">
        <f>3172380+836000+2051280+2013060</f>
        <v>8072720</v>
      </c>
    </row>
    <row r="15" spans="1:15" x14ac:dyDescent="0.55000000000000004">
      <c r="A15" s="78"/>
      <c r="B15" s="78" t="s">
        <v>42</v>
      </c>
      <c r="J15" s="66"/>
    </row>
    <row r="16" spans="1:15" x14ac:dyDescent="0.55000000000000004">
      <c r="A16" s="78"/>
      <c r="B16" s="78" t="s">
        <v>43</v>
      </c>
      <c r="J16" s="66"/>
    </row>
    <row r="17" spans="1:10" x14ac:dyDescent="0.55000000000000004">
      <c r="A17" s="78" t="s">
        <v>16</v>
      </c>
      <c r="B17" s="78" t="s">
        <v>59</v>
      </c>
      <c r="J17" s="66"/>
    </row>
    <row r="18" spans="1:10" ht="24" customHeight="1" x14ac:dyDescent="0.55000000000000004"/>
    <row r="19" spans="1:10" x14ac:dyDescent="0.55000000000000004">
      <c r="F19" s="44" t="s">
        <v>17</v>
      </c>
    </row>
    <row r="20" spans="1:10" x14ac:dyDescent="0.55000000000000004">
      <c r="F20" s="77" t="s">
        <v>50</v>
      </c>
      <c r="G20" s="77"/>
    </row>
    <row r="21" spans="1:10" x14ac:dyDescent="0.55000000000000004">
      <c r="F21" s="77" t="s">
        <v>51</v>
      </c>
      <c r="G21" s="77"/>
    </row>
    <row r="22" spans="1:10" x14ac:dyDescent="0.55000000000000004">
      <c r="F22" s="77" t="s">
        <v>52</v>
      </c>
      <c r="G22" s="77"/>
    </row>
  </sheetData>
  <mergeCells count="3">
    <mergeCell ref="B3:B5"/>
    <mergeCell ref="D3:F3"/>
    <mergeCell ref="H3:H5"/>
  </mergeCells>
  <pageMargins left="0.51181102362204722" right="0.51181102362204722" top="0.47244094488188981" bottom="0.19685039370078741" header="0.31496062992125984" footer="0.31496062992125984"/>
  <pageSetup paperSize="9" scale="95" fitToHeight="0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3DF18-F85E-42C7-B88B-65958E77B140}">
  <sheetPr>
    <tabColor rgb="FF00B0F0"/>
    <pageSetUpPr fitToPage="1"/>
  </sheetPr>
  <dimension ref="A1:Q42"/>
  <sheetViews>
    <sheetView tabSelected="1" topLeftCell="A21" zoomScale="70" zoomScaleNormal="70" workbookViewId="0">
      <selection activeCell="H35" sqref="H35"/>
    </sheetView>
  </sheetViews>
  <sheetFormatPr defaultColWidth="9" defaultRowHeight="23.25" x14ac:dyDescent="0.55000000000000004"/>
  <cols>
    <col min="1" max="1" width="2" style="148" customWidth="1"/>
    <col min="2" max="3" width="3.875" style="150" customWidth="1"/>
    <col min="4" max="4" width="36.125" style="148" customWidth="1"/>
    <col min="5" max="5" width="18.625" style="148" customWidth="1"/>
    <col min="6" max="6" width="14.625" style="148" customWidth="1"/>
    <col min="7" max="7" width="17.125" style="148" customWidth="1"/>
    <col min="8" max="8" width="16.625" style="148" customWidth="1"/>
    <col min="9" max="9" width="17.375" style="148" customWidth="1"/>
    <col min="10" max="10" width="19.375" style="148" customWidth="1"/>
    <col min="11" max="11" width="16.625" style="148" customWidth="1"/>
    <col min="12" max="12" width="16.375" style="148" customWidth="1"/>
    <col min="13" max="13" width="17" style="148" customWidth="1"/>
    <col min="14" max="14" width="1.25" style="158" customWidth="1"/>
    <col min="15" max="17" width="9" style="158"/>
    <col min="18" max="16384" width="9" style="148"/>
  </cols>
  <sheetData>
    <row r="1" spans="2:15" ht="21" customHeight="1" x14ac:dyDescent="0.55000000000000004">
      <c r="B1" s="149" t="s">
        <v>173</v>
      </c>
      <c r="E1" s="162" t="s">
        <v>156</v>
      </c>
      <c r="F1" s="162"/>
      <c r="G1" s="162"/>
      <c r="H1" s="162"/>
      <c r="I1" s="162"/>
      <c r="J1" s="162"/>
      <c r="K1" s="162"/>
      <c r="L1" s="148" t="s">
        <v>157</v>
      </c>
    </row>
    <row r="2" spans="2:15" ht="21" customHeight="1" x14ac:dyDescent="0.55000000000000004">
      <c r="B2" s="149" t="s">
        <v>200</v>
      </c>
      <c r="E2" s="162" t="s">
        <v>185</v>
      </c>
      <c r="F2" s="162"/>
      <c r="G2" s="162"/>
      <c r="H2" s="162"/>
      <c r="I2" s="162"/>
      <c r="J2" s="162"/>
      <c r="K2" s="162"/>
      <c r="L2" s="159" t="s">
        <v>186</v>
      </c>
    </row>
    <row r="3" spans="2:15" ht="21" customHeight="1" x14ac:dyDescent="0.55000000000000004">
      <c r="E3" s="162" t="s">
        <v>184</v>
      </c>
      <c r="F3" s="162"/>
      <c r="G3" s="162"/>
      <c r="H3" s="162"/>
      <c r="I3" s="162"/>
      <c r="J3" s="162"/>
      <c r="K3" s="162"/>
      <c r="L3" s="160" t="s">
        <v>158</v>
      </c>
      <c r="M3" s="160"/>
      <c r="N3" s="161"/>
      <c r="O3" s="161"/>
    </row>
    <row r="4" spans="2:15" ht="21" customHeight="1" x14ac:dyDescent="0.55000000000000004">
      <c r="E4" s="162" t="s">
        <v>146</v>
      </c>
      <c r="F4" s="162"/>
      <c r="G4" s="162"/>
      <c r="H4" s="162"/>
      <c r="I4" s="162"/>
      <c r="J4" s="162"/>
      <c r="K4" s="162"/>
      <c r="M4" s="148" t="s">
        <v>159</v>
      </c>
    </row>
    <row r="5" spans="2:15" ht="9.9499999999999993" customHeight="1" x14ac:dyDescent="0.55000000000000004"/>
    <row r="6" spans="2:15" ht="27.75" x14ac:dyDescent="0.65">
      <c r="B6" s="191" t="s">
        <v>160</v>
      </c>
      <c r="C6" s="192"/>
      <c r="D6" s="193"/>
      <c r="E6" s="194" t="s">
        <v>175</v>
      </c>
      <c r="F6" s="194" t="s">
        <v>149</v>
      </c>
      <c r="G6" s="194" t="s">
        <v>151</v>
      </c>
      <c r="H6" s="194" t="s">
        <v>152</v>
      </c>
      <c r="I6" s="195" t="s">
        <v>179</v>
      </c>
      <c r="J6" s="196"/>
      <c r="K6" s="194" t="s">
        <v>154</v>
      </c>
      <c r="L6" s="194" t="s">
        <v>89</v>
      </c>
      <c r="M6" s="194" t="s">
        <v>147</v>
      </c>
    </row>
    <row r="7" spans="2:15" ht="27.75" x14ac:dyDescent="0.65">
      <c r="B7" s="197"/>
      <c r="C7" s="198"/>
      <c r="D7" s="199"/>
      <c r="E7" s="200" t="s">
        <v>174</v>
      </c>
      <c r="F7" s="200" t="s">
        <v>150</v>
      </c>
      <c r="G7" s="200" t="s">
        <v>176</v>
      </c>
      <c r="H7" s="200" t="s">
        <v>153</v>
      </c>
      <c r="I7" s="200" t="s">
        <v>177</v>
      </c>
      <c r="J7" s="200" t="s">
        <v>178</v>
      </c>
      <c r="K7" s="200"/>
      <c r="L7" s="200"/>
      <c r="M7" s="200"/>
    </row>
    <row r="8" spans="2:15" ht="26.25" customHeight="1" x14ac:dyDescent="0.65">
      <c r="B8" s="201">
        <v>1</v>
      </c>
      <c r="C8" s="202" t="s">
        <v>161</v>
      </c>
      <c r="D8" s="203"/>
      <c r="E8" s="204">
        <v>139408000</v>
      </c>
      <c r="F8" s="204">
        <v>41480600</v>
      </c>
      <c r="G8" s="204">
        <v>140324900</v>
      </c>
      <c r="H8" s="204">
        <v>13930800</v>
      </c>
      <c r="I8" s="204">
        <v>23154100</v>
      </c>
      <c r="J8" s="204">
        <v>67736000</v>
      </c>
      <c r="K8" s="204">
        <v>81339700</v>
      </c>
      <c r="L8" s="204">
        <v>38541800</v>
      </c>
      <c r="M8" s="204">
        <f>SUM(E8:L8)</f>
        <v>545915900</v>
      </c>
    </row>
    <row r="9" spans="2:15" ht="26.25" customHeight="1" x14ac:dyDescent="0.65">
      <c r="B9" s="205">
        <v>2</v>
      </c>
      <c r="C9" s="206" t="s">
        <v>187</v>
      </c>
      <c r="D9" s="207"/>
      <c r="E9" s="208">
        <v>0</v>
      </c>
      <c r="F9" s="208">
        <v>0</v>
      </c>
      <c r="G9" s="208">
        <v>0</v>
      </c>
      <c r="H9" s="208">
        <v>0</v>
      </c>
      <c r="I9" s="208">
        <v>0</v>
      </c>
      <c r="J9" s="208">
        <v>0</v>
      </c>
      <c r="K9" s="208">
        <v>0</v>
      </c>
      <c r="L9" s="208">
        <v>0</v>
      </c>
      <c r="M9" s="209">
        <f>SUM(E9:L9)</f>
        <v>0</v>
      </c>
    </row>
    <row r="10" spans="2:15" ht="26.25" customHeight="1" x14ac:dyDescent="0.65">
      <c r="B10" s="205"/>
      <c r="C10" s="210">
        <v>2.1</v>
      </c>
      <c r="D10" s="211" t="s">
        <v>162</v>
      </c>
      <c r="E10" s="208">
        <v>0</v>
      </c>
      <c r="F10" s="208">
        <v>0</v>
      </c>
      <c r="G10" s="208">
        <v>0</v>
      </c>
      <c r="H10" s="208">
        <v>0</v>
      </c>
      <c r="I10" s="208">
        <v>0</v>
      </c>
      <c r="J10" s="208">
        <v>0</v>
      </c>
      <c r="K10" s="208">
        <v>0</v>
      </c>
      <c r="L10" s="208">
        <v>0</v>
      </c>
      <c r="M10" s="209">
        <f t="shared" ref="M10:M30" si="0">SUM(E10:L10)</f>
        <v>0</v>
      </c>
    </row>
    <row r="11" spans="2:15" ht="26.25" customHeight="1" x14ac:dyDescent="0.65">
      <c r="B11" s="205"/>
      <c r="C11" s="210" t="s">
        <v>148</v>
      </c>
      <c r="D11" s="211" t="s">
        <v>163</v>
      </c>
      <c r="E11" s="208">
        <v>0</v>
      </c>
      <c r="F11" s="208">
        <v>0</v>
      </c>
      <c r="G11" s="208">
        <v>0</v>
      </c>
      <c r="H11" s="208">
        <v>0</v>
      </c>
      <c r="I11" s="208">
        <v>0</v>
      </c>
      <c r="J11" s="208">
        <v>0</v>
      </c>
      <c r="K11" s="208">
        <v>0</v>
      </c>
      <c r="L11" s="208">
        <v>0</v>
      </c>
      <c r="M11" s="209">
        <f t="shared" si="0"/>
        <v>0</v>
      </c>
    </row>
    <row r="12" spans="2:15" ht="26.25" customHeight="1" x14ac:dyDescent="0.65">
      <c r="B12" s="205"/>
      <c r="C12" s="210" t="s">
        <v>148</v>
      </c>
      <c r="D12" s="211" t="s">
        <v>164</v>
      </c>
      <c r="E12" s="208">
        <v>0</v>
      </c>
      <c r="F12" s="208">
        <v>0</v>
      </c>
      <c r="G12" s="208">
        <v>0</v>
      </c>
      <c r="H12" s="208">
        <v>0</v>
      </c>
      <c r="I12" s="208">
        <v>0</v>
      </c>
      <c r="J12" s="208">
        <v>0</v>
      </c>
      <c r="K12" s="208">
        <v>0</v>
      </c>
      <c r="L12" s="208">
        <v>0</v>
      </c>
      <c r="M12" s="209">
        <f t="shared" si="0"/>
        <v>0</v>
      </c>
    </row>
    <row r="13" spans="2:15" ht="26.25" customHeight="1" x14ac:dyDescent="0.65">
      <c r="B13" s="205"/>
      <c r="C13" s="210">
        <v>2.2000000000000002</v>
      </c>
      <c r="D13" s="211" t="s">
        <v>165</v>
      </c>
      <c r="E13" s="208">
        <v>0</v>
      </c>
      <c r="F13" s="208">
        <v>0</v>
      </c>
      <c r="G13" s="208">
        <v>0</v>
      </c>
      <c r="H13" s="208">
        <v>0</v>
      </c>
      <c r="I13" s="208">
        <v>0</v>
      </c>
      <c r="J13" s="208">
        <v>0</v>
      </c>
      <c r="K13" s="208">
        <v>0</v>
      </c>
      <c r="L13" s="208">
        <v>0</v>
      </c>
      <c r="M13" s="209">
        <f t="shared" si="0"/>
        <v>0</v>
      </c>
    </row>
    <row r="14" spans="2:15" ht="26.25" customHeight="1" x14ac:dyDescent="0.65">
      <c r="B14" s="205"/>
      <c r="C14" s="210" t="s">
        <v>148</v>
      </c>
      <c r="D14" s="211" t="s">
        <v>163</v>
      </c>
      <c r="E14" s="208">
        <v>0</v>
      </c>
      <c r="F14" s="208">
        <v>0</v>
      </c>
      <c r="G14" s="208">
        <v>0</v>
      </c>
      <c r="H14" s="208">
        <v>0</v>
      </c>
      <c r="I14" s="208">
        <v>0</v>
      </c>
      <c r="J14" s="208">
        <v>0</v>
      </c>
      <c r="K14" s="208">
        <v>0</v>
      </c>
      <c r="L14" s="208">
        <v>0</v>
      </c>
      <c r="M14" s="209">
        <f t="shared" si="0"/>
        <v>0</v>
      </c>
    </row>
    <row r="15" spans="2:15" ht="26.25" customHeight="1" x14ac:dyDescent="0.65">
      <c r="B15" s="205"/>
      <c r="C15" s="210" t="s">
        <v>148</v>
      </c>
      <c r="D15" s="211" t="s">
        <v>164</v>
      </c>
      <c r="E15" s="208">
        <v>0</v>
      </c>
      <c r="F15" s="208">
        <v>0</v>
      </c>
      <c r="G15" s="208">
        <v>0</v>
      </c>
      <c r="H15" s="208">
        <v>0</v>
      </c>
      <c r="I15" s="208">
        <v>0</v>
      </c>
      <c r="J15" s="208">
        <v>0</v>
      </c>
      <c r="K15" s="208">
        <v>0</v>
      </c>
      <c r="L15" s="208">
        <v>0</v>
      </c>
      <c r="M15" s="209">
        <f t="shared" si="0"/>
        <v>0</v>
      </c>
    </row>
    <row r="16" spans="2:15" ht="26.25" customHeight="1" x14ac:dyDescent="0.65">
      <c r="B16" s="205">
        <v>3</v>
      </c>
      <c r="C16" s="206" t="s">
        <v>188</v>
      </c>
      <c r="D16" s="207"/>
      <c r="E16" s="208">
        <v>0</v>
      </c>
      <c r="F16" s="208">
        <v>0</v>
      </c>
      <c r="G16" s="208">
        <v>4606800</v>
      </c>
      <c r="H16" s="208">
        <v>0</v>
      </c>
      <c r="I16" s="208">
        <v>3664200</v>
      </c>
      <c r="J16" s="212" t="s">
        <v>189</v>
      </c>
      <c r="K16" s="213">
        <v>0</v>
      </c>
      <c r="L16" s="213">
        <v>20888495</v>
      </c>
      <c r="M16" s="209">
        <v>25495295</v>
      </c>
    </row>
    <row r="17" spans="2:13" ht="26.25" customHeight="1" x14ac:dyDescent="0.65">
      <c r="B17" s="205"/>
      <c r="C17" s="210">
        <v>3.1</v>
      </c>
      <c r="D17" s="211" t="s">
        <v>162</v>
      </c>
      <c r="E17" s="208">
        <v>0</v>
      </c>
      <c r="F17" s="208">
        <v>0</v>
      </c>
      <c r="G17" s="208">
        <v>4606800</v>
      </c>
      <c r="H17" s="208">
        <v>0</v>
      </c>
      <c r="I17" s="208">
        <v>3664200</v>
      </c>
      <c r="J17" s="214" t="s">
        <v>189</v>
      </c>
      <c r="K17" s="213">
        <v>0</v>
      </c>
      <c r="L17" s="213">
        <v>20888495</v>
      </c>
      <c r="M17" s="209">
        <v>25495295</v>
      </c>
    </row>
    <row r="18" spans="2:13" ht="26.25" customHeight="1" x14ac:dyDescent="0.65">
      <c r="B18" s="215"/>
      <c r="C18" s="216" t="s">
        <v>148</v>
      </c>
      <c r="D18" s="217" t="s">
        <v>163</v>
      </c>
      <c r="E18" s="218">
        <v>0</v>
      </c>
      <c r="F18" s="218">
        <v>288000</v>
      </c>
      <c r="G18" s="218">
        <v>5147640</v>
      </c>
      <c r="H18" s="218">
        <v>0</v>
      </c>
      <c r="I18" s="218">
        <v>3664200</v>
      </c>
      <c r="J18" s="219" t="s">
        <v>190</v>
      </c>
      <c r="K18" s="220">
        <v>0</v>
      </c>
      <c r="L18" s="220">
        <v>22908545</v>
      </c>
      <c r="M18" s="209">
        <f t="shared" si="0"/>
        <v>32008385</v>
      </c>
    </row>
    <row r="19" spans="2:13" ht="26.25" customHeight="1" x14ac:dyDescent="0.65">
      <c r="B19" s="205"/>
      <c r="C19" s="210" t="s">
        <v>148</v>
      </c>
      <c r="D19" s="211" t="s">
        <v>164</v>
      </c>
      <c r="E19" s="208">
        <v>0</v>
      </c>
      <c r="F19" s="214" t="s">
        <v>192</v>
      </c>
      <c r="G19" s="214" t="s">
        <v>191</v>
      </c>
      <c r="H19" s="208">
        <v>0</v>
      </c>
      <c r="I19" s="221" t="s">
        <v>190</v>
      </c>
      <c r="J19" s="214" t="s">
        <v>189</v>
      </c>
      <c r="K19" s="213">
        <v>0</v>
      </c>
      <c r="L19" s="214" t="s">
        <v>193</v>
      </c>
      <c r="M19" s="222" t="s">
        <v>194</v>
      </c>
    </row>
    <row r="20" spans="2:13" ht="26.25" customHeight="1" x14ac:dyDescent="0.65">
      <c r="B20" s="205"/>
      <c r="C20" s="210">
        <v>3.2</v>
      </c>
      <c r="D20" s="211" t="s">
        <v>165</v>
      </c>
      <c r="E20" s="208">
        <v>0</v>
      </c>
      <c r="F20" s="208">
        <v>0</v>
      </c>
      <c r="G20" s="208">
        <v>0</v>
      </c>
      <c r="H20" s="208">
        <v>0</v>
      </c>
      <c r="I20" s="208">
        <v>0</v>
      </c>
      <c r="J20" s="208">
        <v>0</v>
      </c>
      <c r="K20" s="213">
        <v>0</v>
      </c>
      <c r="L20" s="213">
        <v>0</v>
      </c>
      <c r="M20" s="209">
        <f t="shared" si="0"/>
        <v>0</v>
      </c>
    </row>
    <row r="21" spans="2:13" ht="26.25" customHeight="1" x14ac:dyDescent="0.65">
      <c r="B21" s="205"/>
      <c r="C21" s="210" t="s">
        <v>148</v>
      </c>
      <c r="D21" s="211" t="s">
        <v>163</v>
      </c>
      <c r="E21" s="208">
        <v>0</v>
      </c>
      <c r="F21" s="208">
        <v>0</v>
      </c>
      <c r="G21" s="208">
        <v>0</v>
      </c>
      <c r="H21" s="208">
        <v>0</v>
      </c>
      <c r="I21" s="208">
        <v>0</v>
      </c>
      <c r="J21" s="208">
        <v>0</v>
      </c>
      <c r="K21" s="213">
        <v>0</v>
      </c>
      <c r="L21" s="213">
        <v>0</v>
      </c>
      <c r="M21" s="209">
        <f t="shared" si="0"/>
        <v>0</v>
      </c>
    </row>
    <row r="22" spans="2:13" ht="26.25" customHeight="1" x14ac:dyDescent="0.65">
      <c r="B22" s="205"/>
      <c r="C22" s="210" t="s">
        <v>148</v>
      </c>
      <c r="D22" s="211" t="s">
        <v>164</v>
      </c>
      <c r="E22" s="208">
        <v>0</v>
      </c>
      <c r="F22" s="208">
        <v>0</v>
      </c>
      <c r="G22" s="208">
        <v>0</v>
      </c>
      <c r="H22" s="208">
        <v>0</v>
      </c>
      <c r="I22" s="208">
        <v>0</v>
      </c>
      <c r="J22" s="208">
        <v>0</v>
      </c>
      <c r="K22" s="213">
        <v>0</v>
      </c>
      <c r="L22" s="213">
        <v>0</v>
      </c>
      <c r="M22" s="209">
        <f t="shared" si="0"/>
        <v>0</v>
      </c>
    </row>
    <row r="23" spans="2:13" ht="26.25" customHeight="1" x14ac:dyDescent="0.65">
      <c r="B23" s="205">
        <v>4</v>
      </c>
      <c r="C23" s="206" t="s">
        <v>166</v>
      </c>
      <c r="D23" s="207"/>
      <c r="E23" s="208">
        <v>0</v>
      </c>
      <c r="F23" s="208">
        <v>0</v>
      </c>
      <c r="G23" s="208">
        <v>4606800</v>
      </c>
      <c r="H23" s="208">
        <v>0</v>
      </c>
      <c r="I23" s="208">
        <v>3664200</v>
      </c>
      <c r="J23" s="214" t="s">
        <v>189</v>
      </c>
      <c r="K23" s="213">
        <v>0</v>
      </c>
      <c r="L23" s="213">
        <v>20888495</v>
      </c>
      <c r="M23" s="209">
        <v>25495295</v>
      </c>
    </row>
    <row r="24" spans="2:13" ht="26.25" customHeight="1" x14ac:dyDescent="0.65">
      <c r="B24" s="205">
        <v>5</v>
      </c>
      <c r="C24" s="206" t="s">
        <v>167</v>
      </c>
      <c r="D24" s="207"/>
      <c r="E24" s="208">
        <f>E8+E16</f>
        <v>139408000</v>
      </c>
      <c r="F24" s="208">
        <f t="shared" ref="F24:L24" si="1">F8+F16</f>
        <v>41480600</v>
      </c>
      <c r="G24" s="208">
        <f t="shared" si="1"/>
        <v>144931700</v>
      </c>
      <c r="H24" s="208">
        <f t="shared" si="1"/>
        <v>13930800</v>
      </c>
      <c r="I24" s="208">
        <f t="shared" si="1"/>
        <v>26818300</v>
      </c>
      <c r="J24" s="208">
        <f t="shared" si="1"/>
        <v>64071800</v>
      </c>
      <c r="K24" s="208">
        <f t="shared" si="1"/>
        <v>81339700</v>
      </c>
      <c r="L24" s="208">
        <f t="shared" si="1"/>
        <v>59430295</v>
      </c>
      <c r="M24" s="209">
        <f t="shared" si="0"/>
        <v>571411195</v>
      </c>
    </row>
    <row r="25" spans="2:13" ht="26.25" customHeight="1" x14ac:dyDescent="0.65">
      <c r="B25" s="205">
        <v>6</v>
      </c>
      <c r="C25" s="206" t="s">
        <v>168</v>
      </c>
      <c r="D25" s="207"/>
      <c r="E25" s="208">
        <v>139408000</v>
      </c>
      <c r="F25" s="208">
        <v>41480600</v>
      </c>
      <c r="G25" s="208">
        <v>4606800</v>
      </c>
      <c r="H25" s="208">
        <v>13930800</v>
      </c>
      <c r="I25" s="208">
        <v>0</v>
      </c>
      <c r="J25" s="208">
        <v>0</v>
      </c>
      <c r="K25" s="208">
        <v>0</v>
      </c>
      <c r="L25" s="208">
        <v>20888495</v>
      </c>
      <c r="M25" s="209">
        <f t="shared" si="0"/>
        <v>220314695</v>
      </c>
    </row>
    <row r="26" spans="2:13" ht="26.25" customHeight="1" x14ac:dyDescent="0.65">
      <c r="B26" s="205">
        <v>7</v>
      </c>
      <c r="C26" s="206" t="s">
        <v>180</v>
      </c>
      <c r="D26" s="207"/>
      <c r="E26" s="208">
        <v>0</v>
      </c>
      <c r="F26" s="208">
        <v>0</v>
      </c>
      <c r="G26" s="208">
        <v>0</v>
      </c>
      <c r="H26" s="208">
        <v>0</v>
      </c>
      <c r="I26" s="208">
        <v>0</v>
      </c>
      <c r="J26" s="208">
        <v>0</v>
      </c>
      <c r="K26" s="213">
        <v>0</v>
      </c>
      <c r="L26" s="213">
        <v>0</v>
      </c>
      <c r="M26" s="209">
        <f t="shared" si="0"/>
        <v>0</v>
      </c>
    </row>
    <row r="27" spans="2:13" ht="26.25" customHeight="1" x14ac:dyDescent="0.65">
      <c r="B27" s="205">
        <v>8</v>
      </c>
      <c r="C27" s="206" t="s">
        <v>195</v>
      </c>
      <c r="D27" s="207"/>
      <c r="E27" s="208">
        <v>64296857.090000004</v>
      </c>
      <c r="F27" s="208">
        <v>20115037.870000001</v>
      </c>
      <c r="G27" s="208">
        <v>48680259.859999999</v>
      </c>
      <c r="H27" s="208">
        <v>7363950.9800000004</v>
      </c>
      <c r="I27" s="208">
        <v>9470715.6500000004</v>
      </c>
      <c r="J27" s="213">
        <v>1105311.25</v>
      </c>
      <c r="K27" s="213">
        <v>19998712</v>
      </c>
      <c r="L27" s="213">
        <v>7248183.1399999997</v>
      </c>
      <c r="M27" s="209">
        <f t="shared" si="0"/>
        <v>178279027.84</v>
      </c>
    </row>
    <row r="28" spans="2:13" ht="26.25" customHeight="1" x14ac:dyDescent="0.65">
      <c r="B28" s="205">
        <v>9</v>
      </c>
      <c r="C28" s="206" t="s">
        <v>169</v>
      </c>
      <c r="D28" s="207"/>
      <c r="E28" s="208">
        <f>E27</f>
        <v>64296857.090000004</v>
      </c>
      <c r="F28" s="208">
        <f t="shared" ref="F28:L28" si="2">F27</f>
        <v>20115037.870000001</v>
      </c>
      <c r="G28" s="208">
        <f t="shared" si="2"/>
        <v>48680259.859999999</v>
      </c>
      <c r="H28" s="208">
        <f t="shared" si="2"/>
        <v>7363950.9800000004</v>
      </c>
      <c r="I28" s="208">
        <f t="shared" si="2"/>
        <v>9470715.6500000004</v>
      </c>
      <c r="J28" s="208">
        <f t="shared" si="2"/>
        <v>1105311.25</v>
      </c>
      <c r="K28" s="208">
        <f t="shared" si="2"/>
        <v>19998712</v>
      </c>
      <c r="L28" s="208">
        <f t="shared" si="2"/>
        <v>7248183.1399999997</v>
      </c>
      <c r="M28" s="209">
        <f t="shared" si="0"/>
        <v>178279027.84</v>
      </c>
    </row>
    <row r="29" spans="2:13" ht="26.25" customHeight="1" x14ac:dyDescent="0.55000000000000004">
      <c r="B29" s="205">
        <v>10</v>
      </c>
      <c r="C29" s="206" t="s">
        <v>170</v>
      </c>
      <c r="D29" s="207"/>
      <c r="E29" s="223">
        <f>(E27/E24)</f>
        <v>0.46121353932342479</v>
      </c>
      <c r="F29" s="223">
        <f t="shared" ref="F29:M29" si="3">(F27/F24)</f>
        <v>0.48492639619484773</v>
      </c>
      <c r="G29" s="223">
        <f t="shared" si="3"/>
        <v>0.33588414308256925</v>
      </c>
      <c r="H29" s="223">
        <f t="shared" si="3"/>
        <v>0.52860933901857754</v>
      </c>
      <c r="I29" s="223">
        <f t="shared" si="3"/>
        <v>0.3531437730952372</v>
      </c>
      <c r="J29" s="223">
        <f t="shared" si="3"/>
        <v>1.7251134664548209E-2</v>
      </c>
      <c r="K29" s="223">
        <f t="shared" si="3"/>
        <v>0.24586655716704142</v>
      </c>
      <c r="L29" s="223">
        <f t="shared" si="3"/>
        <v>0.12196108297964868</v>
      </c>
      <c r="M29" s="229">
        <f t="shared" si="3"/>
        <v>0.31199778618268059</v>
      </c>
    </row>
    <row r="30" spans="2:13" ht="26.25" customHeight="1" x14ac:dyDescent="0.65">
      <c r="B30" s="205">
        <v>11</v>
      </c>
      <c r="C30" s="206" t="s">
        <v>171</v>
      </c>
      <c r="D30" s="207"/>
      <c r="E30" s="208">
        <f>E24-E28</f>
        <v>75111142.909999996</v>
      </c>
      <c r="F30" s="208">
        <f t="shared" ref="F30:L30" si="4">F24-F28</f>
        <v>21365562.129999999</v>
      </c>
      <c r="G30" s="208">
        <f t="shared" si="4"/>
        <v>96251440.140000001</v>
      </c>
      <c r="H30" s="208">
        <f t="shared" si="4"/>
        <v>6566849.0199999996</v>
      </c>
      <c r="I30" s="208">
        <f t="shared" si="4"/>
        <v>17347584.350000001</v>
      </c>
      <c r="J30" s="208">
        <f t="shared" si="4"/>
        <v>62966488.75</v>
      </c>
      <c r="K30" s="208">
        <f t="shared" si="4"/>
        <v>61340988</v>
      </c>
      <c r="L30" s="208">
        <f t="shared" si="4"/>
        <v>52182111.859999999</v>
      </c>
      <c r="M30" s="209">
        <f t="shared" si="0"/>
        <v>393132167.16000003</v>
      </c>
    </row>
    <row r="31" spans="2:13" ht="26.25" customHeight="1" x14ac:dyDescent="0.55000000000000004">
      <c r="B31" s="224">
        <v>12</v>
      </c>
      <c r="C31" s="225" t="s">
        <v>172</v>
      </c>
      <c r="D31" s="226"/>
      <c r="E31" s="227">
        <f>(E30/E24)</f>
        <v>0.53878646067657521</v>
      </c>
      <c r="F31" s="227">
        <f t="shared" ref="F31:M31" si="5">(F30/F24)</f>
        <v>0.51507360380515221</v>
      </c>
      <c r="G31" s="227">
        <f t="shared" si="5"/>
        <v>0.6641158569174308</v>
      </c>
      <c r="H31" s="227">
        <f t="shared" si="5"/>
        <v>0.4713906609814224</v>
      </c>
      <c r="I31" s="227">
        <f t="shared" si="5"/>
        <v>0.64685622690476285</v>
      </c>
      <c r="J31" s="227">
        <f t="shared" si="5"/>
        <v>0.9827488653354518</v>
      </c>
      <c r="K31" s="227">
        <f t="shared" si="5"/>
        <v>0.75413344283295858</v>
      </c>
      <c r="L31" s="227">
        <f t="shared" si="5"/>
        <v>0.87803891702035131</v>
      </c>
      <c r="M31" s="228">
        <f t="shared" si="5"/>
        <v>0.68800221381731941</v>
      </c>
    </row>
    <row r="32" spans="2:13" ht="21" customHeight="1" x14ac:dyDescent="0.55000000000000004">
      <c r="B32" s="188"/>
      <c r="C32" s="189"/>
      <c r="D32" s="189"/>
      <c r="E32" s="190"/>
      <c r="F32" s="190"/>
      <c r="G32" s="190"/>
      <c r="H32" s="190"/>
      <c r="I32" s="190"/>
      <c r="J32" s="190"/>
      <c r="K32" s="190"/>
      <c r="L32" s="190"/>
      <c r="M32" s="190"/>
    </row>
    <row r="33" spans="1:17" s="235" customFormat="1" ht="30.75" customHeight="1" x14ac:dyDescent="0.65">
      <c r="A33" s="230"/>
      <c r="B33" s="231" t="s">
        <v>211</v>
      </c>
      <c r="C33" s="231"/>
      <c r="D33" s="231"/>
      <c r="E33" s="232" t="s">
        <v>197</v>
      </c>
      <c r="F33" s="232"/>
      <c r="G33" s="236" t="s">
        <v>210</v>
      </c>
      <c r="H33" s="236"/>
      <c r="I33" s="234" t="s">
        <v>208</v>
      </c>
      <c r="J33" s="233" t="s">
        <v>209</v>
      </c>
      <c r="K33" s="232"/>
      <c r="L33" s="232"/>
      <c r="M33" s="232"/>
    </row>
    <row r="34" spans="1:17" ht="30.75" customHeight="1" x14ac:dyDescent="0.55000000000000004">
      <c r="B34" s="151"/>
      <c r="C34" s="151"/>
      <c r="D34" s="151"/>
      <c r="E34" s="152"/>
      <c r="F34" s="152"/>
      <c r="G34" s="152"/>
      <c r="H34" s="152"/>
      <c r="I34" s="152"/>
      <c r="J34" s="152"/>
      <c r="K34" s="152"/>
      <c r="L34" s="152"/>
      <c r="M34" s="152"/>
      <c r="N34" s="148"/>
      <c r="O34" s="148"/>
      <c r="P34" s="148"/>
      <c r="Q34" s="148"/>
    </row>
    <row r="35" spans="1:17" ht="30.75" customHeight="1" x14ac:dyDescent="0.55000000000000004">
      <c r="B35" s="151"/>
      <c r="C35" s="151"/>
      <c r="D35" s="151"/>
      <c r="E35" s="152"/>
      <c r="F35" s="152"/>
      <c r="G35" s="152"/>
      <c r="H35" s="152"/>
      <c r="I35" s="152"/>
      <c r="J35" s="152"/>
      <c r="K35" s="152"/>
      <c r="L35" s="152"/>
      <c r="M35" s="152"/>
      <c r="N35" s="148"/>
      <c r="O35" s="148"/>
      <c r="P35" s="148"/>
      <c r="Q35" s="148"/>
    </row>
    <row r="36" spans="1:17" ht="30.75" customHeight="1" x14ac:dyDescent="0.55000000000000004">
      <c r="B36" s="151"/>
      <c r="C36" s="151"/>
      <c r="D36" s="151"/>
      <c r="E36" s="152"/>
      <c r="F36" s="152"/>
      <c r="G36" s="152"/>
      <c r="H36" s="152"/>
      <c r="I36" s="152"/>
      <c r="J36" s="152"/>
      <c r="K36" s="152"/>
      <c r="L36" s="152"/>
      <c r="M36" s="152"/>
      <c r="N36" s="148"/>
      <c r="O36" s="148"/>
      <c r="P36" s="148"/>
      <c r="Q36" s="148"/>
    </row>
    <row r="37" spans="1:17" ht="30.75" customHeight="1" x14ac:dyDescent="0.55000000000000004">
      <c r="B37" s="151"/>
      <c r="C37" s="151"/>
      <c r="D37" s="151"/>
      <c r="E37" s="152"/>
      <c r="F37" s="152"/>
      <c r="G37" s="152"/>
      <c r="H37" s="152"/>
      <c r="I37" s="152"/>
      <c r="J37" s="152"/>
      <c r="K37" s="152"/>
      <c r="L37" s="152"/>
      <c r="M37" s="152"/>
      <c r="N37" s="148"/>
      <c r="O37" s="148"/>
      <c r="P37" s="148"/>
      <c r="Q37" s="148"/>
    </row>
    <row r="38" spans="1:17" ht="30.75" customHeight="1" x14ac:dyDescent="0.55000000000000004">
      <c r="B38" s="151"/>
      <c r="C38" s="151"/>
      <c r="D38" s="151"/>
      <c r="E38" s="152"/>
      <c r="F38" s="152"/>
      <c r="G38" s="152"/>
      <c r="H38" s="152"/>
      <c r="I38" s="152"/>
      <c r="J38" s="152"/>
      <c r="K38" s="152"/>
      <c r="L38" s="152"/>
      <c r="M38" s="152"/>
      <c r="N38" s="148"/>
      <c r="O38" s="148"/>
      <c r="P38" s="148"/>
      <c r="Q38" s="148"/>
    </row>
    <row r="39" spans="1:17" ht="30.75" customHeight="1" x14ac:dyDescent="0.55000000000000004">
      <c r="B39" s="151"/>
      <c r="C39" s="151"/>
      <c r="D39" s="151"/>
      <c r="E39" s="152"/>
      <c r="F39" s="152"/>
      <c r="G39" s="152"/>
      <c r="H39" s="152"/>
      <c r="I39" s="152"/>
      <c r="J39" s="152"/>
      <c r="K39" s="152"/>
      <c r="L39" s="152"/>
      <c r="M39" s="152"/>
      <c r="N39" s="148"/>
      <c r="O39" s="148"/>
      <c r="P39" s="148"/>
      <c r="Q39" s="148"/>
    </row>
    <row r="40" spans="1:17" ht="11.25" customHeight="1" x14ac:dyDescent="0.55000000000000004">
      <c r="B40" s="153"/>
      <c r="C40" s="153"/>
      <c r="D40" s="153"/>
      <c r="E40" s="154"/>
      <c r="F40" s="154"/>
      <c r="G40" s="154"/>
      <c r="H40" s="154"/>
      <c r="I40" s="154"/>
      <c r="J40" s="154"/>
      <c r="K40" s="155"/>
      <c r="L40" s="155"/>
      <c r="M40" s="155"/>
      <c r="N40" s="148"/>
      <c r="O40" s="148"/>
      <c r="P40" s="148"/>
      <c r="Q40" s="148"/>
    </row>
    <row r="41" spans="1:17" x14ac:dyDescent="0.55000000000000004">
      <c r="G41" s="156"/>
      <c r="H41" s="156"/>
    </row>
    <row r="42" spans="1:17" x14ac:dyDescent="0.55000000000000004">
      <c r="J42" s="157"/>
    </row>
  </sheetData>
  <mergeCells count="19">
    <mergeCell ref="G33:H33"/>
    <mergeCell ref="C26:D26"/>
    <mergeCell ref="E1:K1"/>
    <mergeCell ref="E2:K2"/>
    <mergeCell ref="E3:K3"/>
    <mergeCell ref="E4:K4"/>
    <mergeCell ref="B6:D6"/>
    <mergeCell ref="I6:J6"/>
    <mergeCell ref="C9:D9"/>
    <mergeCell ref="C16:D16"/>
    <mergeCell ref="C23:D23"/>
    <mergeCell ref="C24:D24"/>
    <mergeCell ref="C25:D25"/>
    <mergeCell ref="B33:D33"/>
    <mergeCell ref="C27:D27"/>
    <mergeCell ref="C28:D28"/>
    <mergeCell ref="C29:D29"/>
    <mergeCell ref="C30:D30"/>
    <mergeCell ref="C31:D31"/>
  </mergeCells>
  <pageMargins left="0.2" right="0.2" top="0.36" bottom="0.06" header="0.31496062992126" footer="0.09"/>
  <pageSetup paperSize="9" scale="6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CD128-9459-47D9-A6D3-6BA8B11BA198}">
  <sheetPr>
    <tabColor rgb="FF00B0F0"/>
    <pageSetUpPr fitToPage="1"/>
  </sheetPr>
  <dimension ref="B1:Q24"/>
  <sheetViews>
    <sheetView zoomScale="55" zoomScaleNormal="55" workbookViewId="0">
      <selection sqref="A1:N17"/>
    </sheetView>
  </sheetViews>
  <sheetFormatPr defaultColWidth="9" defaultRowHeight="27.75" x14ac:dyDescent="0.65"/>
  <cols>
    <col min="1" max="1" width="3.125" style="238" customWidth="1"/>
    <col min="2" max="2" width="3.875" style="241" customWidth="1"/>
    <col min="3" max="3" width="4.375" style="237" customWidth="1"/>
    <col min="4" max="4" width="48.125" style="238" customWidth="1"/>
    <col min="5" max="5" width="19.875" style="238" customWidth="1"/>
    <col min="6" max="6" width="12.625" style="238" customWidth="1"/>
    <col min="7" max="7" width="15" style="238" customWidth="1"/>
    <col min="8" max="8" width="18.375" style="238" customWidth="1"/>
    <col min="9" max="9" width="12.625" style="238" customWidth="1"/>
    <col min="10" max="10" width="15" style="238" customWidth="1"/>
    <col min="11" max="11" width="19" style="238" customWidth="1"/>
    <col min="12" max="12" width="12.625" style="238" customWidth="1"/>
    <col min="13" max="13" width="16" style="238" customWidth="1"/>
    <col min="14" max="14" width="3.125" style="240" customWidth="1"/>
    <col min="15" max="17" width="9" style="240"/>
    <col min="18" max="16384" width="9" style="238"/>
  </cols>
  <sheetData>
    <row r="1" spans="2:13" ht="25.5" customHeight="1" x14ac:dyDescent="0.65">
      <c r="B1" s="237" t="s">
        <v>173</v>
      </c>
      <c r="E1" s="239" t="s">
        <v>181</v>
      </c>
      <c r="F1" s="239"/>
      <c r="G1" s="239"/>
      <c r="H1" s="239"/>
      <c r="I1" s="239"/>
      <c r="J1" s="239"/>
      <c r="K1" s="239"/>
      <c r="L1" s="238" t="s">
        <v>157</v>
      </c>
    </row>
    <row r="2" spans="2:13" ht="25.5" customHeight="1" x14ac:dyDescent="0.65">
      <c r="B2" s="237" t="s">
        <v>201</v>
      </c>
      <c r="E2" s="239" t="s">
        <v>185</v>
      </c>
      <c r="F2" s="239"/>
      <c r="G2" s="239"/>
      <c r="H2" s="239"/>
      <c r="I2" s="239"/>
      <c r="J2" s="239"/>
      <c r="K2" s="239"/>
      <c r="L2" s="238" t="s">
        <v>199</v>
      </c>
    </row>
    <row r="3" spans="2:13" ht="25.5" customHeight="1" x14ac:dyDescent="0.65">
      <c r="E3" s="239" t="s">
        <v>198</v>
      </c>
      <c r="F3" s="239"/>
      <c r="G3" s="239"/>
      <c r="H3" s="239"/>
      <c r="I3" s="239"/>
      <c r="J3" s="239"/>
      <c r="K3" s="239"/>
      <c r="L3" s="238" t="s">
        <v>158</v>
      </c>
    </row>
    <row r="4" spans="2:13" ht="25.5" customHeight="1" x14ac:dyDescent="0.65">
      <c r="E4" s="239" t="s">
        <v>146</v>
      </c>
      <c r="F4" s="239"/>
      <c r="G4" s="239"/>
      <c r="H4" s="239"/>
      <c r="I4" s="239"/>
      <c r="J4" s="239"/>
      <c r="K4" s="239"/>
      <c r="M4" s="238" t="s">
        <v>183</v>
      </c>
    </row>
    <row r="5" spans="2:13" ht="9.9499999999999993" customHeight="1" x14ac:dyDescent="0.65"/>
    <row r="6" spans="2:13" x14ac:dyDescent="0.65">
      <c r="B6" s="191" t="s">
        <v>160</v>
      </c>
      <c r="C6" s="192"/>
      <c r="D6" s="193"/>
      <c r="E6" s="195" t="s">
        <v>182</v>
      </c>
      <c r="F6" s="242"/>
      <c r="G6" s="196"/>
      <c r="H6" s="195" t="s">
        <v>144</v>
      </c>
      <c r="I6" s="242"/>
      <c r="J6" s="196"/>
      <c r="K6" s="195" t="s">
        <v>10</v>
      </c>
      <c r="L6" s="242"/>
      <c r="M6" s="196"/>
    </row>
    <row r="7" spans="2:13" x14ac:dyDescent="0.65">
      <c r="B7" s="197"/>
      <c r="C7" s="243"/>
      <c r="D7" s="199"/>
      <c r="E7" s="200" t="s">
        <v>90</v>
      </c>
      <c r="F7" s="200" t="s">
        <v>88</v>
      </c>
      <c r="G7" s="200" t="s">
        <v>147</v>
      </c>
      <c r="H7" s="200" t="s">
        <v>90</v>
      </c>
      <c r="I7" s="200" t="s">
        <v>88</v>
      </c>
      <c r="J7" s="200" t="s">
        <v>147</v>
      </c>
      <c r="K7" s="200" t="s">
        <v>90</v>
      </c>
      <c r="L7" s="200" t="s">
        <v>88</v>
      </c>
      <c r="M7" s="200" t="s">
        <v>147</v>
      </c>
    </row>
    <row r="8" spans="2:13" s="240" customFormat="1" ht="33" customHeight="1" x14ac:dyDescent="0.65">
      <c r="B8" s="201">
        <v>31</v>
      </c>
      <c r="C8" s="202" t="s">
        <v>202</v>
      </c>
      <c r="D8" s="203"/>
      <c r="E8" s="204">
        <f>SUM(E9:E9)</f>
        <v>142154</v>
      </c>
      <c r="F8" s="204">
        <f>SUM(F9:F9)</f>
        <v>0</v>
      </c>
      <c r="G8" s="204">
        <f>SUM(E8:F8)</f>
        <v>142154</v>
      </c>
      <c r="H8" s="204">
        <f>H9</f>
        <v>142153.78</v>
      </c>
      <c r="I8" s="204">
        <f>SUM(I9:I9)</f>
        <v>0</v>
      </c>
      <c r="J8" s="204">
        <f>SUM(H8:I8)</f>
        <v>142153.78</v>
      </c>
      <c r="K8" s="204">
        <f t="shared" ref="K8:K13" si="0">G8-J8</f>
        <v>0.22000000000116415</v>
      </c>
      <c r="L8" s="204">
        <f>SUM(L9:L9)</f>
        <v>0</v>
      </c>
      <c r="M8" s="204">
        <f t="shared" ref="M8:M13" si="1">SUM(K8:L8)</f>
        <v>0.22000000000116415</v>
      </c>
    </row>
    <row r="9" spans="2:13" s="240" customFormat="1" ht="33" customHeight="1" x14ac:dyDescent="0.3">
      <c r="B9" s="205"/>
      <c r="C9" s="244" t="s">
        <v>203</v>
      </c>
      <c r="D9" s="211" t="s">
        <v>204</v>
      </c>
      <c r="E9" s="208">
        <v>142154</v>
      </c>
      <c r="F9" s="208">
        <v>0</v>
      </c>
      <c r="G9" s="208">
        <f>SUM(E9:F9)</f>
        <v>142154</v>
      </c>
      <c r="H9" s="208">
        <v>142153.78</v>
      </c>
      <c r="I9" s="208">
        <v>0</v>
      </c>
      <c r="J9" s="208">
        <f>SUM(H9:I9)</f>
        <v>142153.78</v>
      </c>
      <c r="K9" s="208">
        <f t="shared" si="0"/>
        <v>0.22000000000116415</v>
      </c>
      <c r="L9" s="208">
        <v>0</v>
      </c>
      <c r="M9" s="208">
        <f t="shared" si="1"/>
        <v>0.22000000000116415</v>
      </c>
    </row>
    <row r="10" spans="2:13" ht="33" customHeight="1" x14ac:dyDescent="0.65">
      <c r="B10" s="205">
        <v>68</v>
      </c>
      <c r="C10" s="245" t="s">
        <v>206</v>
      </c>
      <c r="D10" s="211"/>
      <c r="E10" s="204">
        <f>SUM(E11)</f>
        <v>52800</v>
      </c>
      <c r="F10" s="204">
        <f t="shared" ref="F10:J10" si="2">SUM(F11)</f>
        <v>0</v>
      </c>
      <c r="G10" s="204">
        <f t="shared" si="2"/>
        <v>52800</v>
      </c>
      <c r="H10" s="204">
        <f>H11</f>
        <v>52800</v>
      </c>
      <c r="I10" s="204">
        <f t="shared" si="2"/>
        <v>0</v>
      </c>
      <c r="J10" s="204">
        <f t="shared" si="2"/>
        <v>52800</v>
      </c>
      <c r="K10" s="204">
        <f t="shared" si="0"/>
        <v>0</v>
      </c>
      <c r="L10" s="204">
        <f t="shared" ref="L10" si="3">SUM(L11:L12)</f>
        <v>0</v>
      </c>
      <c r="M10" s="204">
        <f t="shared" si="1"/>
        <v>0</v>
      </c>
    </row>
    <row r="11" spans="2:13" ht="33" customHeight="1" x14ac:dyDescent="0.65">
      <c r="B11" s="215"/>
      <c r="C11" s="244" t="s">
        <v>205</v>
      </c>
      <c r="D11" s="211" t="s">
        <v>154</v>
      </c>
      <c r="E11" s="208">
        <v>52800</v>
      </c>
      <c r="F11" s="208">
        <v>0</v>
      </c>
      <c r="G11" s="208">
        <f>SUM(E11:F11)</f>
        <v>52800</v>
      </c>
      <c r="H11" s="208">
        <v>52800</v>
      </c>
      <c r="I11" s="208">
        <v>0</v>
      </c>
      <c r="J11" s="208">
        <f>SUM(H11:I11)</f>
        <v>52800</v>
      </c>
      <c r="K11" s="208">
        <f t="shared" si="0"/>
        <v>0</v>
      </c>
      <c r="L11" s="208">
        <v>0</v>
      </c>
      <c r="M11" s="208">
        <f t="shared" si="1"/>
        <v>0</v>
      </c>
    </row>
    <row r="12" spans="2:13" ht="33" customHeight="1" x14ac:dyDescent="0.65">
      <c r="B12" s="205">
        <v>68</v>
      </c>
      <c r="C12" s="245" t="s">
        <v>206</v>
      </c>
      <c r="D12" s="211"/>
      <c r="E12" s="204">
        <f>E13+E14</f>
        <v>2474105</v>
      </c>
      <c r="F12" s="204">
        <f t="shared" ref="F12:J12" si="4">SUM(F13)</f>
        <v>0</v>
      </c>
      <c r="G12" s="204">
        <f>G13+G14</f>
        <v>2474105</v>
      </c>
      <c r="H12" s="204">
        <f>H13+H14</f>
        <v>377000</v>
      </c>
      <c r="I12" s="204">
        <f t="shared" si="4"/>
        <v>0</v>
      </c>
      <c r="J12" s="204">
        <f t="shared" si="4"/>
        <v>377000</v>
      </c>
      <c r="K12" s="204">
        <f t="shared" si="0"/>
        <v>2097105</v>
      </c>
      <c r="L12" s="204">
        <f t="shared" ref="L12" si="5">SUM(L13:L14)</f>
        <v>0</v>
      </c>
      <c r="M12" s="204">
        <f t="shared" si="1"/>
        <v>2097105</v>
      </c>
    </row>
    <row r="13" spans="2:13" ht="33" customHeight="1" x14ac:dyDescent="0.65">
      <c r="B13" s="205"/>
      <c r="C13" s="244" t="s">
        <v>205</v>
      </c>
      <c r="D13" s="211" t="s">
        <v>154</v>
      </c>
      <c r="E13" s="208">
        <v>2387682</v>
      </c>
      <c r="F13" s="208">
        <v>0</v>
      </c>
      <c r="G13" s="208">
        <v>2387682</v>
      </c>
      <c r="H13" s="208">
        <v>377000</v>
      </c>
      <c r="I13" s="208">
        <v>0</v>
      </c>
      <c r="J13" s="208">
        <f>SUM(H13:I13)</f>
        <v>377000</v>
      </c>
      <c r="K13" s="208">
        <f t="shared" si="0"/>
        <v>2010682</v>
      </c>
      <c r="L13" s="208">
        <v>0</v>
      </c>
      <c r="M13" s="208">
        <f t="shared" si="1"/>
        <v>2010682</v>
      </c>
    </row>
    <row r="14" spans="2:13" ht="33" customHeight="1" x14ac:dyDescent="0.65">
      <c r="B14" s="246"/>
      <c r="C14" s="244" t="s">
        <v>207</v>
      </c>
      <c r="D14" s="247" t="s">
        <v>89</v>
      </c>
      <c r="E14" s="248">
        <v>86423</v>
      </c>
      <c r="F14" s="248"/>
      <c r="G14" s="248">
        <v>86423</v>
      </c>
      <c r="H14" s="248">
        <v>0</v>
      </c>
      <c r="I14" s="248"/>
      <c r="J14" s="208">
        <f>SUM(H14:I14)</f>
        <v>0</v>
      </c>
      <c r="K14" s="208">
        <f t="shared" ref="K14" si="6">G14-J14</f>
        <v>86423</v>
      </c>
      <c r="L14" s="208">
        <v>0</v>
      </c>
      <c r="M14" s="208">
        <f t="shared" ref="M14" si="7">SUM(K14:L14)</f>
        <v>86423</v>
      </c>
    </row>
    <row r="15" spans="2:13" ht="33" customHeight="1" x14ac:dyDescent="0.65">
      <c r="B15" s="249"/>
      <c r="C15" s="250"/>
      <c r="D15" s="251" t="s">
        <v>155</v>
      </c>
      <c r="E15" s="252">
        <f t="shared" ref="E15:M15" si="8">E8+E10+E12</f>
        <v>2669059</v>
      </c>
      <c r="F15" s="252">
        <f t="shared" si="8"/>
        <v>0</v>
      </c>
      <c r="G15" s="252">
        <f t="shared" si="8"/>
        <v>2669059</v>
      </c>
      <c r="H15" s="252">
        <f t="shared" si="8"/>
        <v>571953.78</v>
      </c>
      <c r="I15" s="252">
        <f t="shared" si="8"/>
        <v>0</v>
      </c>
      <c r="J15" s="252">
        <f t="shared" si="8"/>
        <v>571953.78</v>
      </c>
      <c r="K15" s="252">
        <f t="shared" si="8"/>
        <v>2097105.22</v>
      </c>
      <c r="L15" s="252">
        <f t="shared" si="8"/>
        <v>0</v>
      </c>
      <c r="M15" s="252">
        <f t="shared" si="8"/>
        <v>2097105.22</v>
      </c>
    </row>
    <row r="16" spans="2:13" ht="21" customHeight="1" x14ac:dyDescent="0.65">
      <c r="B16" s="253"/>
      <c r="C16" s="254"/>
      <c r="D16" s="254"/>
      <c r="E16" s="255"/>
      <c r="F16" s="255"/>
      <c r="G16" s="255"/>
      <c r="H16" s="255"/>
      <c r="I16" s="255"/>
      <c r="J16" s="255"/>
      <c r="K16" s="255"/>
      <c r="L16" s="255"/>
      <c r="M16" s="255"/>
    </row>
    <row r="17" spans="2:17" ht="30.75" customHeight="1" x14ac:dyDescent="0.65">
      <c r="B17" s="231" t="s">
        <v>196</v>
      </c>
      <c r="C17" s="231"/>
      <c r="D17" s="231"/>
      <c r="E17" s="256" t="s">
        <v>197</v>
      </c>
      <c r="F17" s="256"/>
      <c r="G17" s="256"/>
      <c r="H17" s="256"/>
      <c r="I17" s="256"/>
      <c r="J17" s="256"/>
      <c r="K17" s="256"/>
      <c r="L17" s="256"/>
      <c r="M17" s="256"/>
      <c r="N17" s="238"/>
      <c r="O17" s="238"/>
      <c r="P17" s="238"/>
      <c r="Q17" s="238"/>
    </row>
    <row r="18" spans="2:17" ht="30.75" customHeight="1" x14ac:dyDescent="0.65">
      <c r="B18" s="216"/>
      <c r="C18" s="257"/>
      <c r="D18" s="216"/>
      <c r="E18" s="256"/>
      <c r="F18" s="256"/>
      <c r="G18" s="256"/>
      <c r="H18" s="256"/>
      <c r="I18" s="256"/>
      <c r="J18" s="256"/>
      <c r="K18" s="256"/>
      <c r="L18" s="256"/>
      <c r="M18" s="256"/>
      <c r="N18" s="238"/>
      <c r="O18" s="238"/>
      <c r="P18" s="238"/>
      <c r="Q18" s="238"/>
    </row>
    <row r="19" spans="2:17" ht="30.75" customHeight="1" x14ac:dyDescent="0.65">
      <c r="B19" s="216"/>
      <c r="C19" s="257"/>
      <c r="D19" s="216"/>
      <c r="E19" s="256"/>
      <c r="F19" s="256"/>
      <c r="G19" s="256"/>
      <c r="H19" s="256"/>
      <c r="I19" s="256"/>
      <c r="J19" s="256"/>
      <c r="K19" s="256"/>
      <c r="L19" s="256"/>
      <c r="M19" s="256"/>
      <c r="N19" s="238"/>
      <c r="O19" s="238"/>
      <c r="P19" s="238"/>
      <c r="Q19" s="238"/>
    </row>
    <row r="20" spans="2:17" ht="30.75" customHeight="1" x14ac:dyDescent="0.65">
      <c r="B20" s="216"/>
      <c r="C20" s="257"/>
      <c r="D20" s="216"/>
      <c r="E20" s="256"/>
      <c r="F20" s="256"/>
      <c r="G20" s="256"/>
      <c r="H20" s="256"/>
      <c r="I20" s="256"/>
      <c r="J20" s="256"/>
      <c r="K20" s="256"/>
      <c r="L20" s="256"/>
      <c r="M20" s="256"/>
      <c r="N20" s="238"/>
      <c r="O20" s="238"/>
      <c r="P20" s="238"/>
      <c r="Q20" s="238"/>
    </row>
    <row r="21" spans="2:17" ht="30.75" customHeight="1" x14ac:dyDescent="0.65">
      <c r="B21" s="216"/>
      <c r="C21" s="257"/>
      <c r="D21" s="216"/>
      <c r="E21" s="256"/>
      <c r="F21" s="256"/>
      <c r="G21" s="256"/>
      <c r="H21" s="256"/>
      <c r="I21" s="256"/>
      <c r="J21" s="256"/>
      <c r="K21" s="256"/>
      <c r="L21" s="256"/>
      <c r="M21" s="256"/>
      <c r="N21" s="238"/>
      <c r="O21" s="238"/>
      <c r="P21" s="238"/>
      <c r="Q21" s="238"/>
    </row>
    <row r="22" spans="2:17" ht="11.25" customHeight="1" x14ac:dyDescent="0.65">
      <c r="B22" s="258"/>
      <c r="C22" s="259"/>
      <c r="D22" s="258"/>
      <c r="E22" s="260"/>
      <c r="F22" s="260"/>
      <c r="G22" s="260"/>
      <c r="H22" s="260"/>
      <c r="I22" s="260"/>
      <c r="J22" s="260"/>
      <c r="K22" s="261"/>
      <c r="L22" s="261"/>
      <c r="M22" s="261"/>
      <c r="N22" s="238"/>
      <c r="O22" s="238"/>
      <c r="P22" s="238"/>
      <c r="Q22" s="238"/>
    </row>
    <row r="23" spans="2:17" x14ac:dyDescent="0.65">
      <c r="G23" s="262"/>
      <c r="H23" s="262"/>
    </row>
    <row r="24" spans="2:17" x14ac:dyDescent="0.65">
      <c r="J24" s="263"/>
    </row>
  </sheetData>
  <mergeCells count="9">
    <mergeCell ref="B17:D17"/>
    <mergeCell ref="E1:K1"/>
    <mergeCell ref="E2:K2"/>
    <mergeCell ref="E3:K3"/>
    <mergeCell ref="E4:K4"/>
    <mergeCell ref="B6:D6"/>
    <mergeCell ref="E6:G6"/>
    <mergeCell ref="H6:J6"/>
    <mergeCell ref="K6:M6"/>
  </mergeCells>
  <pageMargins left="0.2" right="0.2" top="0.511811023622047" bottom="0.196850393700787" header="0.31496062992126" footer="0.31496062992126"/>
  <pageSetup paperSize="9" scale="6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BF28D-6DD1-41F0-A213-282A9CB1C698}">
  <sheetPr>
    <tabColor rgb="FF00B050"/>
  </sheetPr>
  <dimension ref="A1:T42"/>
  <sheetViews>
    <sheetView workbookViewId="0">
      <selection activeCell="E16" sqref="E16"/>
    </sheetView>
  </sheetViews>
  <sheetFormatPr defaultColWidth="9" defaultRowHeight="24" x14ac:dyDescent="0.55000000000000004"/>
  <cols>
    <col min="1" max="1" width="2" style="44" customWidth="1"/>
    <col min="2" max="2" width="25.75" style="44" customWidth="1"/>
    <col min="3" max="5" width="15.125" style="44" customWidth="1"/>
    <col min="6" max="6" width="16" style="44" customWidth="1"/>
    <col min="7" max="7" width="15.125" style="44" customWidth="1"/>
    <col min="8" max="8" width="11" style="44" hidden="1" customWidth="1"/>
    <col min="9" max="9" width="9.625" style="44" customWidth="1"/>
    <col min="10" max="10" width="37" style="44" customWidth="1"/>
    <col min="11" max="11" width="1.625" style="44" customWidth="1"/>
    <col min="12" max="12" width="15.75" style="44" customWidth="1"/>
    <col min="13" max="13" width="14.375" style="44" customWidth="1"/>
    <col min="14" max="14" width="13.25" style="44" customWidth="1"/>
    <col min="15" max="15" width="14.375" style="44" customWidth="1"/>
    <col min="16" max="16" width="9" style="44" customWidth="1"/>
    <col min="17" max="17" width="9.75" style="44" customWidth="1"/>
    <col min="18" max="18" width="9" style="44" customWidth="1"/>
    <col min="19" max="19" width="11.375" style="44" customWidth="1"/>
    <col min="20" max="20" width="13.375" style="44" bestFit="1" customWidth="1"/>
    <col min="21" max="16384" width="9" style="44"/>
  </cols>
  <sheetData>
    <row r="1" spans="1:20" x14ac:dyDescent="0.55000000000000004">
      <c r="A1" s="35" t="s">
        <v>0</v>
      </c>
    </row>
    <row r="2" spans="1:20" x14ac:dyDescent="0.55000000000000004">
      <c r="A2" s="35" t="s">
        <v>1</v>
      </c>
      <c r="J2" s="45" t="s">
        <v>129</v>
      </c>
    </row>
    <row r="3" spans="1:20" x14ac:dyDescent="0.55000000000000004">
      <c r="B3" s="163" t="s">
        <v>36</v>
      </c>
      <c r="C3" s="46" t="s">
        <v>3</v>
      </c>
      <c r="D3" s="46" t="s">
        <v>3</v>
      </c>
      <c r="E3" s="166" t="s">
        <v>118</v>
      </c>
      <c r="F3" s="167"/>
      <c r="G3" s="167"/>
      <c r="H3" s="168"/>
      <c r="I3" s="46" t="s">
        <v>9</v>
      </c>
      <c r="J3" s="169" t="s">
        <v>11</v>
      </c>
      <c r="K3" s="47"/>
      <c r="L3" s="44" t="s">
        <v>49</v>
      </c>
      <c r="M3" s="66">
        <f>2812000+225000+2102300+66900+7758463</f>
        <v>12964663</v>
      </c>
    </row>
    <row r="4" spans="1:20" x14ac:dyDescent="0.55000000000000004">
      <c r="B4" s="164"/>
      <c r="C4" s="48" t="s">
        <v>4</v>
      </c>
      <c r="D4" s="48" t="s">
        <v>99</v>
      </c>
      <c r="E4" s="46" t="s">
        <v>39</v>
      </c>
      <c r="F4" s="46" t="s">
        <v>39</v>
      </c>
      <c r="G4" s="46" t="s">
        <v>38</v>
      </c>
      <c r="H4" s="46" t="s">
        <v>9</v>
      </c>
      <c r="I4" s="48" t="s">
        <v>40</v>
      </c>
      <c r="J4" s="170"/>
      <c r="K4" s="47"/>
      <c r="L4" s="75"/>
      <c r="M4" s="76">
        <f>M3/12</f>
        <v>1080388.5833333333</v>
      </c>
      <c r="N4" s="47"/>
      <c r="O4" s="47"/>
      <c r="P4" s="47"/>
      <c r="Q4" s="47"/>
    </row>
    <row r="5" spans="1:20" x14ac:dyDescent="0.55000000000000004">
      <c r="B5" s="165"/>
      <c r="C5" s="49" t="s">
        <v>57</v>
      </c>
      <c r="D5" s="49" t="s">
        <v>57</v>
      </c>
      <c r="E5" s="49" t="s">
        <v>57</v>
      </c>
      <c r="F5" s="79" t="s">
        <v>100</v>
      </c>
      <c r="G5" s="49" t="s">
        <v>57</v>
      </c>
      <c r="H5" s="49" t="s">
        <v>40</v>
      </c>
      <c r="I5" s="79"/>
      <c r="J5" s="171"/>
      <c r="K5" s="47"/>
      <c r="L5" s="47"/>
      <c r="M5" s="47"/>
      <c r="N5" s="44" t="s">
        <v>64</v>
      </c>
      <c r="O5" s="47"/>
      <c r="P5" s="47"/>
      <c r="Q5" s="47"/>
    </row>
    <row r="6" spans="1:20" ht="27.95" customHeight="1" x14ac:dyDescent="0.55000000000000004">
      <c r="B6" s="73" t="s">
        <v>44</v>
      </c>
      <c r="C6" s="74">
        <f>77882029+8212669</f>
        <v>86094698</v>
      </c>
      <c r="D6" s="74">
        <f>C6-G27</f>
        <v>84670463.670000002</v>
      </c>
      <c r="E6" s="103">
        <f>C6</f>
        <v>86094698</v>
      </c>
      <c r="F6" s="103">
        <f>D6</f>
        <v>84670463.670000002</v>
      </c>
      <c r="G6" s="74">
        <f>75357966.22+8169507.38</f>
        <v>83527473.599999994</v>
      </c>
      <c r="H6" s="72">
        <f t="shared" ref="H6:H12" si="0">G6*100/F6</f>
        <v>98.650072267875174</v>
      </c>
      <c r="I6" s="72">
        <f>G6*100/F6</f>
        <v>98.650072267875174</v>
      </c>
      <c r="J6" s="130" t="s">
        <v>135</v>
      </c>
      <c r="K6" s="53"/>
      <c r="L6" s="51">
        <f>24715945.49-24912136.79</f>
        <v>-196191.30000000075</v>
      </c>
      <c r="M6" s="44" t="str">
        <f>B6</f>
        <v xml:space="preserve"> งบดำเนินงาน</v>
      </c>
      <c r="N6" s="66">
        <f>1536317.33-112083</f>
        <v>1424234.33</v>
      </c>
    </row>
    <row r="7" spans="1:20" ht="27.95" customHeight="1" x14ac:dyDescent="0.55000000000000004">
      <c r="B7" s="73" t="s">
        <v>45</v>
      </c>
      <c r="C7" s="74">
        <f>820630+9701000</f>
        <v>10521630</v>
      </c>
      <c r="D7" s="74">
        <f>C7</f>
        <v>10521630</v>
      </c>
      <c r="E7" s="70">
        <f t="shared" ref="E7:E9" si="1">C7</f>
        <v>10521630</v>
      </c>
      <c r="F7" s="103">
        <f>D7</f>
        <v>10521630</v>
      </c>
      <c r="G7" s="74">
        <f>820090+4938990</f>
        <v>5759080</v>
      </c>
      <c r="H7" s="72">
        <f t="shared" si="0"/>
        <v>54.735625563719687</v>
      </c>
      <c r="I7" s="72">
        <f t="shared" ref="I7:I9" si="2">G7*100/F7</f>
        <v>54.735625563719687</v>
      </c>
      <c r="J7" s="130" t="s">
        <v>137</v>
      </c>
      <c r="K7" s="53"/>
      <c r="M7" s="44" t="str">
        <f t="shared" ref="M7:M8" si="3">B7</f>
        <v xml:space="preserve"> งบลงทุน</v>
      </c>
      <c r="N7" s="66">
        <v>4739560</v>
      </c>
      <c r="P7" s="115" t="s">
        <v>112</v>
      </c>
      <c r="Q7" s="115"/>
      <c r="R7" s="115" t="s">
        <v>111</v>
      </c>
      <c r="S7" s="115"/>
    </row>
    <row r="8" spans="1:20" ht="27.95" customHeight="1" x14ac:dyDescent="0.55000000000000004">
      <c r="B8" s="73" t="s">
        <v>46</v>
      </c>
      <c r="C8" s="74">
        <f>48916603</f>
        <v>48916603</v>
      </c>
      <c r="D8" s="74">
        <f>C8-G29</f>
        <v>45842174</v>
      </c>
      <c r="E8" s="70">
        <f t="shared" si="1"/>
        <v>48916603</v>
      </c>
      <c r="F8" s="103">
        <f>D8</f>
        <v>45842174</v>
      </c>
      <c r="G8" s="74">
        <f>44410105.5</f>
        <v>44410105.5</v>
      </c>
      <c r="H8" s="72">
        <f t="shared" si="0"/>
        <v>96.876089471672955</v>
      </c>
      <c r="I8" s="72">
        <f t="shared" si="2"/>
        <v>96.876089471672955</v>
      </c>
      <c r="J8" s="130" t="s">
        <v>140</v>
      </c>
      <c r="K8" s="53"/>
      <c r="M8" s="44" t="str">
        <f t="shared" si="3"/>
        <v xml:space="preserve"> งบเงินอุดหนุน</v>
      </c>
      <c r="N8" s="66">
        <f>S12</f>
        <v>3074429</v>
      </c>
      <c r="P8" s="115">
        <v>1</v>
      </c>
      <c r="Q8" s="116">
        <v>39286.6</v>
      </c>
      <c r="R8" s="115">
        <v>1</v>
      </c>
      <c r="S8" s="116">
        <v>365136</v>
      </c>
    </row>
    <row r="9" spans="1:20" ht="27.95" customHeight="1" x14ac:dyDescent="0.55000000000000004">
      <c r="B9" s="73" t="s">
        <v>47</v>
      </c>
      <c r="C9" s="74">
        <v>54312913</v>
      </c>
      <c r="D9" s="74">
        <f>C9</f>
        <v>54312913</v>
      </c>
      <c r="E9" s="70">
        <f t="shared" si="1"/>
        <v>54312913</v>
      </c>
      <c r="F9" s="103">
        <f>D9</f>
        <v>54312913</v>
      </c>
      <c r="G9" s="74">
        <f>51888637.87</f>
        <v>51888637.869999997</v>
      </c>
      <c r="H9" s="72">
        <f t="shared" si="0"/>
        <v>95.536466383233758</v>
      </c>
      <c r="I9" s="72">
        <f t="shared" si="2"/>
        <v>95.536466383233758</v>
      </c>
      <c r="J9" s="130" t="s">
        <v>138</v>
      </c>
      <c r="K9" s="53"/>
      <c r="L9" s="40" t="s">
        <v>58</v>
      </c>
      <c r="M9" s="44" t="s">
        <v>114</v>
      </c>
      <c r="N9" s="66">
        <f>10900+10900+112083</f>
        <v>133883</v>
      </c>
      <c r="P9" s="115">
        <v>2</v>
      </c>
      <c r="Q9" s="116">
        <v>946130.4</v>
      </c>
      <c r="R9" s="115">
        <v>2</v>
      </c>
      <c r="S9" s="116">
        <v>1695246</v>
      </c>
    </row>
    <row r="10" spans="1:20" s="35" customFormat="1" ht="30.75" customHeight="1" thickBot="1" x14ac:dyDescent="0.6">
      <c r="B10" s="36" t="s">
        <v>12</v>
      </c>
      <c r="C10" s="37">
        <f>SUM(C6:C9)</f>
        <v>199845844</v>
      </c>
      <c r="D10" s="37">
        <f t="shared" ref="D10:G10" si="4">SUM(D6:D9)</f>
        <v>195347180.67000002</v>
      </c>
      <c r="E10" s="37">
        <f t="shared" si="4"/>
        <v>199845844</v>
      </c>
      <c r="F10" s="37">
        <f>SUM(F6:F9)</f>
        <v>195347180.67000002</v>
      </c>
      <c r="G10" s="37">
        <f t="shared" si="4"/>
        <v>185585296.97</v>
      </c>
      <c r="H10" s="38">
        <f t="shared" si="0"/>
        <v>95.00280287305975</v>
      </c>
      <c r="I10" s="38">
        <f>G10*100/F10</f>
        <v>95.00280287305975</v>
      </c>
      <c r="J10" s="130" t="s">
        <v>136</v>
      </c>
      <c r="K10" s="39"/>
      <c r="L10" s="40"/>
      <c r="M10" s="44"/>
      <c r="N10" s="131">
        <f>SUM(N6:N9)</f>
        <v>9372106.3300000001</v>
      </c>
      <c r="O10" s="44"/>
      <c r="P10" s="115">
        <v>2</v>
      </c>
      <c r="Q10" s="116">
        <v>6280</v>
      </c>
      <c r="R10" s="121">
        <v>2</v>
      </c>
      <c r="S10" s="132">
        <v>22350</v>
      </c>
    </row>
    <row r="11" spans="1:20" ht="27.75" customHeight="1" thickTop="1" thickBot="1" x14ac:dyDescent="0.6">
      <c r="B11" s="73" t="s">
        <v>25</v>
      </c>
      <c r="C11" s="74">
        <f>3172380+836000+2051280+2013060</f>
        <v>8072720</v>
      </c>
      <c r="D11" s="74">
        <f>C11-G30</f>
        <v>7938837</v>
      </c>
      <c r="E11" s="74">
        <f>C11</f>
        <v>8072720</v>
      </c>
      <c r="F11" s="74">
        <f>D11</f>
        <v>7938837</v>
      </c>
      <c r="G11" s="74">
        <f>2390367+598608+2051280+1298712</f>
        <v>6338967</v>
      </c>
      <c r="H11" s="72">
        <f t="shared" si="0"/>
        <v>79.847551977701514</v>
      </c>
      <c r="I11" s="72">
        <f>G11*100/F11</f>
        <v>79.847551977701514</v>
      </c>
      <c r="J11" s="130" t="s">
        <v>139</v>
      </c>
      <c r="K11" s="53"/>
      <c r="L11" s="66"/>
      <c r="M11" s="133" t="s">
        <v>115</v>
      </c>
      <c r="N11" s="59">
        <f>254879+796900+666890+10231529+10462942</f>
        <v>22413140</v>
      </c>
      <c r="P11" s="115"/>
      <c r="Q11" s="124">
        <f>SUM(Q8:Q10)</f>
        <v>991697</v>
      </c>
      <c r="R11" s="116"/>
      <c r="S11" s="124">
        <f>SUM(S8:S10)</f>
        <v>2082732</v>
      </c>
    </row>
    <row r="12" spans="1:20" s="35" customFormat="1" ht="30.75" customHeight="1" thickTop="1" thickBot="1" x14ac:dyDescent="0.6">
      <c r="B12" s="36" t="s">
        <v>13</v>
      </c>
      <c r="C12" s="37">
        <f>+C10+C11</f>
        <v>207918564</v>
      </c>
      <c r="D12" s="37">
        <f t="shared" ref="D12:G12" si="5">+D10+D11</f>
        <v>203286017.67000002</v>
      </c>
      <c r="E12" s="37">
        <f t="shared" si="5"/>
        <v>207918564</v>
      </c>
      <c r="F12" s="37">
        <f>+F10+F11</f>
        <v>203286017.67000002</v>
      </c>
      <c r="G12" s="37">
        <f t="shared" si="5"/>
        <v>191924263.97</v>
      </c>
      <c r="H12" s="38">
        <f t="shared" si="0"/>
        <v>94.410951707242418</v>
      </c>
      <c r="I12" s="38">
        <f>G12*100/F12</f>
        <v>94.410951707242418</v>
      </c>
      <c r="J12" s="134"/>
      <c r="K12" s="53"/>
      <c r="L12" s="41">
        <f>77882029+8212669+820630+9701000+48916603+54312913-C10</f>
        <v>0</v>
      </c>
      <c r="M12" s="135" t="s">
        <v>116</v>
      </c>
      <c r="N12" s="136">
        <f>N10+N11</f>
        <v>31785246.329999998</v>
      </c>
      <c r="P12" s="121"/>
      <c r="Q12" s="121"/>
      <c r="R12" s="121"/>
      <c r="S12" s="122">
        <f>S11+Q11</f>
        <v>3074429</v>
      </c>
      <c r="T12" s="35">
        <f>44412308.5-44410105.5</f>
        <v>2203</v>
      </c>
    </row>
    <row r="13" spans="1:20" s="35" customFormat="1" ht="11.25" customHeight="1" thickTop="1" x14ac:dyDescent="0.55000000000000004">
      <c r="B13" s="63"/>
      <c r="C13" s="64"/>
      <c r="D13" s="64"/>
      <c r="E13" s="64"/>
      <c r="F13" s="64"/>
      <c r="G13" s="64"/>
      <c r="H13" s="65"/>
      <c r="I13" s="65"/>
      <c r="J13" s="53"/>
      <c r="K13" s="53"/>
    </row>
    <row r="14" spans="1:20" x14ac:dyDescent="0.55000000000000004">
      <c r="A14" s="78" t="s">
        <v>53</v>
      </c>
      <c r="B14" s="78"/>
      <c r="J14" s="59"/>
      <c r="L14" s="66">
        <f>75357966.22+8169507.38+820090+4938990+44410105.5+51888637.87</f>
        <v>185585296.97</v>
      </c>
      <c r="M14" s="66"/>
    </row>
    <row r="15" spans="1:20" x14ac:dyDescent="0.55000000000000004">
      <c r="A15" s="78"/>
      <c r="B15" s="78" t="s">
        <v>109</v>
      </c>
      <c r="L15" s="66">
        <f>G8+G29</f>
        <v>47484534.5</v>
      </c>
    </row>
    <row r="16" spans="1:20" x14ac:dyDescent="0.55000000000000004">
      <c r="A16" s="78"/>
      <c r="B16" s="78" t="s">
        <v>120</v>
      </c>
      <c r="L16" s="66"/>
    </row>
    <row r="17" spans="1:20" ht="23.1" customHeight="1" x14ac:dyDescent="0.55000000000000004">
      <c r="A17" s="78" t="s">
        <v>16</v>
      </c>
      <c r="B17" s="78" t="s">
        <v>110</v>
      </c>
      <c r="L17" s="66">
        <f>406597759-142172600-40680100</f>
        <v>223745059</v>
      </c>
      <c r="N17" s="83" t="s">
        <v>65</v>
      </c>
    </row>
    <row r="18" spans="1:20" x14ac:dyDescent="0.55000000000000004">
      <c r="A18" s="78"/>
      <c r="B18" s="78" t="s">
        <v>113</v>
      </c>
      <c r="L18" s="66"/>
      <c r="N18" s="33"/>
      <c r="T18" s="66">
        <f>714348+782013+1424234.33+4739560+3139697+133883</f>
        <v>10933735.33</v>
      </c>
    </row>
    <row r="19" spans="1:20" x14ac:dyDescent="0.55000000000000004">
      <c r="A19" s="78"/>
      <c r="B19" s="78" t="s">
        <v>130</v>
      </c>
      <c r="L19" s="66"/>
      <c r="N19" s="33"/>
      <c r="T19" s="66"/>
    </row>
    <row r="20" spans="1:20" ht="24" customHeight="1" x14ac:dyDescent="0.55000000000000004">
      <c r="B20" s="78" t="s">
        <v>133</v>
      </c>
      <c r="J20" s="66"/>
      <c r="L20" s="66">
        <f>337318847.45-126227695.47-37834382.68</f>
        <v>173256769.29999998</v>
      </c>
      <c r="N20" s="84" t="s">
        <v>63</v>
      </c>
    </row>
    <row r="21" spans="1:20" x14ac:dyDescent="0.55000000000000004">
      <c r="B21" s="78" t="s">
        <v>132</v>
      </c>
      <c r="H21" s="44" t="s">
        <v>17</v>
      </c>
      <c r="L21" s="59">
        <f>44410105.5-D8</f>
        <v>-1432068.5</v>
      </c>
    </row>
    <row r="22" spans="1:20" x14ac:dyDescent="0.55000000000000004">
      <c r="B22" s="78" t="s">
        <v>134</v>
      </c>
      <c r="H22" s="77" t="s">
        <v>50</v>
      </c>
      <c r="I22" s="77"/>
    </row>
    <row r="23" spans="1:20" x14ac:dyDescent="0.55000000000000004">
      <c r="H23" s="77" t="s">
        <v>51</v>
      </c>
      <c r="I23" s="77"/>
      <c r="L23" s="44">
        <f>L20*100/L17</f>
        <v>77.43490295354411</v>
      </c>
    </row>
    <row r="24" spans="1:20" x14ac:dyDescent="0.55000000000000004">
      <c r="H24" s="77" t="s">
        <v>52</v>
      </c>
      <c r="I24" s="77"/>
    </row>
    <row r="25" spans="1:20" x14ac:dyDescent="0.55000000000000004">
      <c r="G25" s="59"/>
      <c r="J25" s="66">
        <f>714348+103508.84+782012.74</f>
        <v>1599869.58</v>
      </c>
      <c r="L25" s="59">
        <f>44410105.5+G29</f>
        <v>47484534.5</v>
      </c>
    </row>
    <row r="26" spans="1:20" x14ac:dyDescent="0.55000000000000004">
      <c r="B26" s="98"/>
      <c r="J26" s="59">
        <f>J25-[1]คลองสามวา!$H$95</f>
        <v>0</v>
      </c>
      <c r="L26" s="59">
        <f>L25*100/48916603</f>
        <v>97.07242855764126</v>
      </c>
    </row>
    <row r="27" spans="1:20" x14ac:dyDescent="0.55000000000000004">
      <c r="B27" s="44" t="s">
        <v>66</v>
      </c>
      <c r="G27" s="66">
        <f>N6</f>
        <v>1424234.33</v>
      </c>
      <c r="I27" s="44" t="s">
        <v>128</v>
      </c>
    </row>
    <row r="28" spans="1:20" x14ac:dyDescent="0.55000000000000004">
      <c r="B28" s="44" t="s">
        <v>67</v>
      </c>
      <c r="G28" s="66">
        <f>4739560</f>
        <v>4739560</v>
      </c>
      <c r="I28" s="44" t="s">
        <v>103</v>
      </c>
    </row>
    <row r="29" spans="1:20" x14ac:dyDescent="0.55000000000000004">
      <c r="B29" s="44" t="s">
        <v>68</v>
      </c>
      <c r="G29" s="66">
        <f>N8</f>
        <v>3074429</v>
      </c>
      <c r="I29" s="44" t="s">
        <v>128</v>
      </c>
    </row>
    <row r="30" spans="1:20" x14ac:dyDescent="0.55000000000000004">
      <c r="B30" s="44" t="s">
        <v>93</v>
      </c>
      <c r="G30" s="137">
        <f>10900+10900+112083</f>
        <v>133883</v>
      </c>
      <c r="H30" s="106">
        <f>SUM(G27:G30)</f>
        <v>9372106.3300000001</v>
      </c>
      <c r="I30" s="44" t="s">
        <v>128</v>
      </c>
      <c r="L30" s="59">
        <f>48916603-G29</f>
        <v>45842174</v>
      </c>
      <c r="M30" s="59">
        <f>L30-48916603</f>
        <v>-3074429</v>
      </c>
    </row>
    <row r="31" spans="1:20" x14ac:dyDescent="0.55000000000000004">
      <c r="B31" s="44" t="s">
        <v>105</v>
      </c>
      <c r="G31" s="137">
        <f>57405+179987-G30</f>
        <v>103509</v>
      </c>
      <c r="H31" s="113"/>
      <c r="I31" s="44" t="s">
        <v>10</v>
      </c>
      <c r="L31" s="59">
        <f>44410105.5+G29</f>
        <v>47484534.5</v>
      </c>
      <c r="M31" s="59">
        <f>L31-44410105.5</f>
        <v>3074429</v>
      </c>
    </row>
    <row r="32" spans="1:20" ht="24.75" thickBot="1" x14ac:dyDescent="0.6">
      <c r="G32" s="138">
        <f>SUM(G27:G31)</f>
        <v>9475615.3300000001</v>
      </c>
      <c r="H32" s="113"/>
      <c r="L32" s="59"/>
      <c r="M32" s="59"/>
    </row>
    <row r="33" spans="2:9" ht="24.75" thickTop="1" x14ac:dyDescent="0.55000000000000004">
      <c r="B33" s="44" t="s">
        <v>101</v>
      </c>
      <c r="G33" s="66">
        <f>714348</f>
        <v>714348</v>
      </c>
      <c r="H33" s="78"/>
    </row>
    <row r="34" spans="2:9" x14ac:dyDescent="0.55000000000000004">
      <c r="B34" s="44" t="s">
        <v>73</v>
      </c>
      <c r="G34" s="66"/>
      <c r="H34" s="78"/>
    </row>
    <row r="35" spans="2:9" x14ac:dyDescent="0.55000000000000004">
      <c r="B35" s="44" t="s">
        <v>102</v>
      </c>
      <c r="G35" s="66">
        <f>782012.74</f>
        <v>782012.74</v>
      </c>
      <c r="H35" s="106">
        <f>SUM(G31:G35)</f>
        <v>11075485.07</v>
      </c>
    </row>
    <row r="36" spans="2:9" x14ac:dyDescent="0.55000000000000004">
      <c r="B36" s="44" t="s">
        <v>71</v>
      </c>
    </row>
    <row r="37" spans="2:9" x14ac:dyDescent="0.55000000000000004">
      <c r="B37" s="44" t="s">
        <v>117</v>
      </c>
      <c r="G37" s="66">
        <f>255100+328400</f>
        <v>583500</v>
      </c>
    </row>
    <row r="38" spans="2:9" x14ac:dyDescent="0.55000000000000004">
      <c r="B38" s="44" t="s">
        <v>127</v>
      </c>
    </row>
    <row r="39" spans="2:9" ht="24.75" thickBot="1" x14ac:dyDescent="0.6">
      <c r="B39" s="44" t="s">
        <v>121</v>
      </c>
      <c r="G39" s="97">
        <f>SUM(G27:G38)</f>
        <v>21031091.399999999</v>
      </c>
    </row>
    <row r="40" spans="2:9" ht="24.75" thickTop="1" x14ac:dyDescent="0.55000000000000004"/>
    <row r="41" spans="2:9" x14ac:dyDescent="0.55000000000000004">
      <c r="C41" s="59"/>
      <c r="D41" s="59"/>
      <c r="I41" s="114"/>
    </row>
    <row r="42" spans="2:9" x14ac:dyDescent="0.55000000000000004">
      <c r="I42" s="114"/>
    </row>
  </sheetData>
  <mergeCells count="3">
    <mergeCell ref="B3:B5"/>
    <mergeCell ref="E3:H3"/>
    <mergeCell ref="J3:J5"/>
  </mergeCells>
  <pageMargins left="0.23622047244094491" right="0.19685039370078741" top="0.51181102362204722" bottom="0.19685039370078741" header="0.31496062992125984" footer="0.31496062992125984"/>
  <pageSetup paperSize="9" scale="88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A11EC-FC67-48CC-B3D4-E3B879F15516}">
  <sheetPr>
    <tabColor rgb="FF00B050"/>
  </sheetPr>
  <dimension ref="A1:H15"/>
  <sheetViews>
    <sheetView workbookViewId="0">
      <selection activeCell="E16" sqref="E16"/>
    </sheetView>
  </sheetViews>
  <sheetFormatPr defaultColWidth="9" defaultRowHeight="24" x14ac:dyDescent="0.55000000000000004"/>
  <cols>
    <col min="1" max="1" width="2" style="44" customWidth="1"/>
    <col min="2" max="2" width="22.375" style="44" customWidth="1"/>
    <col min="3" max="3" width="14.625" style="44" customWidth="1"/>
    <col min="4" max="4" width="21.125" style="44" customWidth="1"/>
    <col min="5" max="5" width="11" style="44" hidden="1" customWidth="1"/>
    <col min="6" max="6" width="9.375" style="44" customWidth="1"/>
    <col min="7" max="7" width="35.375" style="44" customWidth="1"/>
    <col min="8" max="8" width="1.625" style="44" customWidth="1"/>
    <col min="9" max="16384" width="9" style="44"/>
  </cols>
  <sheetData>
    <row r="1" spans="1:8" ht="27.75" x14ac:dyDescent="0.65">
      <c r="A1" s="35"/>
      <c r="B1" s="172" t="s">
        <v>145</v>
      </c>
      <c r="C1" s="172"/>
      <c r="D1" s="172"/>
      <c r="E1" s="172"/>
      <c r="F1" s="172"/>
      <c r="G1" s="172"/>
    </row>
    <row r="2" spans="1:8" ht="27.75" x14ac:dyDescent="0.65">
      <c r="A2" s="35"/>
      <c r="B2" s="172" t="s">
        <v>146</v>
      </c>
      <c r="C2" s="172"/>
      <c r="D2" s="172"/>
      <c r="E2" s="172"/>
      <c r="F2" s="172"/>
      <c r="G2" s="172"/>
    </row>
    <row r="3" spans="1:8" x14ac:dyDescent="0.55000000000000004">
      <c r="A3" s="35"/>
      <c r="F3" s="35"/>
      <c r="G3" s="147" t="s">
        <v>142</v>
      </c>
    </row>
    <row r="4" spans="1:8" x14ac:dyDescent="0.55000000000000004">
      <c r="B4" s="163" t="s">
        <v>36</v>
      </c>
      <c r="C4" s="46" t="s">
        <v>3</v>
      </c>
      <c r="D4" s="46" t="s">
        <v>143</v>
      </c>
      <c r="E4" s="68"/>
      <c r="F4" s="46" t="s">
        <v>9</v>
      </c>
      <c r="G4" s="169" t="s">
        <v>11</v>
      </c>
      <c r="H4" s="47"/>
    </row>
    <row r="5" spans="1:8" x14ac:dyDescent="0.55000000000000004">
      <c r="B5" s="164"/>
      <c r="C5" s="48" t="s">
        <v>4</v>
      </c>
      <c r="D5" s="48" t="s">
        <v>144</v>
      </c>
      <c r="E5" s="46" t="s">
        <v>9</v>
      </c>
      <c r="F5" s="48" t="s">
        <v>40</v>
      </c>
      <c r="G5" s="170"/>
      <c r="H5" s="47"/>
    </row>
    <row r="6" spans="1:8" x14ac:dyDescent="0.55000000000000004">
      <c r="B6" s="165"/>
      <c r="C6" s="49" t="s">
        <v>57</v>
      </c>
      <c r="D6" s="49" t="s">
        <v>57</v>
      </c>
      <c r="E6" s="49" t="s">
        <v>40</v>
      </c>
      <c r="F6" s="49"/>
      <c r="G6" s="171"/>
      <c r="H6" s="47"/>
    </row>
    <row r="7" spans="1:8" ht="28.5" customHeight="1" x14ac:dyDescent="0.55000000000000004">
      <c r="B7" s="73" t="s">
        <v>141</v>
      </c>
      <c r="C7" s="145">
        <f>143186100+40104200</f>
        <v>183290300</v>
      </c>
      <c r="D7" s="145">
        <f>40137543.77+9544096.28</f>
        <v>49681640.050000004</v>
      </c>
      <c r="E7" s="145"/>
      <c r="F7" s="143">
        <f t="shared" ref="F7:F14" si="0">D7*100/C7</f>
        <v>27.105438776629207</v>
      </c>
      <c r="G7" s="141"/>
      <c r="H7" s="142"/>
    </row>
    <row r="8" spans="1:8" ht="27.95" customHeight="1" x14ac:dyDescent="0.55000000000000004">
      <c r="B8" s="73" t="s">
        <v>44</v>
      </c>
      <c r="C8" s="143">
        <f>98755200+12922500</f>
        <v>111677700</v>
      </c>
      <c r="D8" s="143">
        <f>14603141.52+1383507.73</f>
        <v>15986649.25</v>
      </c>
      <c r="E8" s="143" t="e">
        <f>#REF!*100/#REF!</f>
        <v>#REF!</v>
      </c>
      <c r="F8" s="143">
        <f t="shared" si="0"/>
        <v>14.314987907164994</v>
      </c>
      <c r="G8" s="139"/>
      <c r="H8" s="53"/>
    </row>
    <row r="9" spans="1:8" ht="27.95" customHeight="1" x14ac:dyDescent="0.55000000000000004">
      <c r="B9" s="73" t="s">
        <v>45</v>
      </c>
      <c r="C9" s="143">
        <f>9418500+42081000</f>
        <v>51499500</v>
      </c>
      <c r="D9" s="143">
        <f>2228990.9+579150</f>
        <v>2808140.9</v>
      </c>
      <c r="E9" s="143" t="e">
        <f>#REF!*100/#REF!</f>
        <v>#REF!</v>
      </c>
      <c r="F9" s="143">
        <f t="shared" si="0"/>
        <v>5.4527537160554953</v>
      </c>
      <c r="G9" s="139"/>
      <c r="H9" s="53"/>
    </row>
    <row r="10" spans="1:8" ht="27.95" customHeight="1" x14ac:dyDescent="0.55000000000000004">
      <c r="B10" s="73" t="s">
        <v>46</v>
      </c>
      <c r="C10" s="143">
        <f>58419400</f>
        <v>58419400</v>
      </c>
      <c r="D10" s="143">
        <f>4739444</f>
        <v>4739444</v>
      </c>
      <c r="E10" s="143" t="e">
        <f>#REF!*100/#REF!</f>
        <v>#REF!</v>
      </c>
      <c r="F10" s="143">
        <f t="shared" si="0"/>
        <v>8.1127912987808841</v>
      </c>
      <c r="G10" s="139"/>
      <c r="H10" s="53"/>
    </row>
    <row r="11" spans="1:8" ht="27.95" customHeight="1" x14ac:dyDescent="0.55000000000000004">
      <c r="B11" s="73" t="s">
        <v>47</v>
      </c>
      <c r="C11" s="143">
        <v>76583290</v>
      </c>
      <c r="D11" s="143">
        <f>6458438.95</f>
        <v>6458438.9500000002</v>
      </c>
      <c r="E11" s="143" t="e">
        <f>#REF!*100/#REF!</f>
        <v>#REF!</v>
      </c>
      <c r="F11" s="143">
        <f>D11*100/C11</f>
        <v>8.4332221167306862</v>
      </c>
      <c r="G11" s="139"/>
      <c r="H11" s="53"/>
    </row>
    <row r="12" spans="1:8" s="35" customFormat="1" ht="30.75" customHeight="1" thickBot="1" x14ac:dyDescent="0.6">
      <c r="B12" s="36" t="s">
        <v>12</v>
      </c>
      <c r="C12" s="144">
        <f>SUM(C7:C11)</f>
        <v>481470190</v>
      </c>
      <c r="D12" s="144">
        <f>SUM(D7:D11)</f>
        <v>79674313.150000006</v>
      </c>
      <c r="E12" s="144" t="e">
        <f t="shared" ref="E12" si="1">SUM(E7:E11)</f>
        <v>#REF!</v>
      </c>
      <c r="F12" s="146">
        <f t="shared" si="0"/>
        <v>16.548130041031204</v>
      </c>
      <c r="G12" s="139"/>
      <c r="H12" s="39"/>
    </row>
    <row r="13" spans="1:8" ht="27.75" customHeight="1" thickTop="1" x14ac:dyDescent="0.55000000000000004">
      <c r="B13" s="73" t="s">
        <v>25</v>
      </c>
      <c r="C13" s="143">
        <v>7488738</v>
      </c>
      <c r="D13" s="143">
        <v>7353288</v>
      </c>
      <c r="E13" s="143" t="e">
        <f>#REF!*100/#REF!</f>
        <v>#REF!</v>
      </c>
      <c r="F13" s="143">
        <f>D13*100/C13</f>
        <v>98.191284032102601</v>
      </c>
      <c r="G13" s="139"/>
      <c r="H13" s="53"/>
    </row>
    <row r="14" spans="1:8" s="35" customFormat="1" ht="30.75" customHeight="1" thickBot="1" x14ac:dyDescent="0.6">
      <c r="B14" s="36" t="s">
        <v>13</v>
      </c>
      <c r="C14" s="144">
        <f>+C12+C13</f>
        <v>488958928</v>
      </c>
      <c r="D14" s="144">
        <f t="shared" ref="D14" si="2">+D12+D13</f>
        <v>87027601.150000006</v>
      </c>
      <c r="E14" s="144" t="e">
        <f>#REF!*100/#REF!</f>
        <v>#REF!</v>
      </c>
      <c r="F14" s="146">
        <f t="shared" si="0"/>
        <v>17.798550382538469</v>
      </c>
      <c r="G14" s="140"/>
      <c r="H14" s="53"/>
    </row>
    <row r="15" spans="1:8" s="35" customFormat="1" ht="11.25" customHeight="1" thickTop="1" x14ac:dyDescent="0.55000000000000004">
      <c r="B15" s="63"/>
      <c r="C15" s="64"/>
      <c r="D15" s="64"/>
      <c r="E15" s="65"/>
      <c r="F15" s="65"/>
      <c r="G15" s="53"/>
      <c r="H15" s="53"/>
    </row>
  </sheetData>
  <mergeCells count="4">
    <mergeCell ref="B4:B6"/>
    <mergeCell ref="G4:G6"/>
    <mergeCell ref="B1:G1"/>
    <mergeCell ref="B2:G2"/>
  </mergeCells>
  <pageMargins left="0.59055118110236227" right="0.31496062992125984" top="0.78740157480314965" bottom="0.19685039370078741" header="0.31496062992125984" footer="0.31496062992125984"/>
  <pageSetup paperSize="9" scale="82" fitToHeight="0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949C5-E9C9-42A5-90AE-C6E3DC5FF93A}">
  <sheetPr>
    <tabColor rgb="FF00B0F0"/>
  </sheetPr>
  <dimension ref="A1:T41"/>
  <sheetViews>
    <sheetView workbookViewId="0">
      <selection activeCell="E16" sqref="E16"/>
    </sheetView>
  </sheetViews>
  <sheetFormatPr defaultColWidth="9" defaultRowHeight="24" x14ac:dyDescent="0.55000000000000004"/>
  <cols>
    <col min="1" max="1" width="2" style="44" customWidth="1"/>
    <col min="2" max="2" width="33.625" style="44" customWidth="1"/>
    <col min="3" max="3" width="17.625" style="44" customWidth="1"/>
    <col min="4" max="4" width="15.125" style="44" hidden="1" customWidth="1"/>
    <col min="5" max="5" width="17.625" style="44" customWidth="1"/>
    <col min="6" max="6" width="16" style="44" hidden="1" customWidth="1"/>
    <col min="7" max="7" width="17.625" style="44" customWidth="1"/>
    <col min="8" max="8" width="11" style="44" hidden="1" customWidth="1"/>
    <col min="9" max="9" width="10.625" style="44" customWidth="1"/>
    <col min="10" max="10" width="37.375" style="44" customWidth="1"/>
    <col min="11" max="11" width="1.625" style="44" customWidth="1"/>
    <col min="12" max="12" width="15.75" style="44" customWidth="1"/>
    <col min="13" max="13" width="14.375" style="44" customWidth="1"/>
    <col min="14" max="14" width="13.25" style="44" customWidth="1"/>
    <col min="15" max="15" width="14.375" style="44" customWidth="1"/>
    <col min="16" max="16" width="9" style="44" customWidth="1"/>
    <col min="17" max="17" width="9.75" style="44" customWidth="1"/>
    <col min="18" max="18" width="9" style="44" customWidth="1"/>
    <col min="19" max="19" width="11.375" style="44" customWidth="1"/>
    <col min="20" max="20" width="13.375" style="44" bestFit="1" customWidth="1"/>
    <col min="21" max="16384" width="9" style="44"/>
  </cols>
  <sheetData>
    <row r="1" spans="1:20" x14ac:dyDescent="0.55000000000000004">
      <c r="A1" s="35" t="s">
        <v>0</v>
      </c>
    </row>
    <row r="2" spans="1:20" x14ac:dyDescent="0.55000000000000004">
      <c r="A2" s="35" t="s">
        <v>1</v>
      </c>
      <c r="J2" s="45" t="s">
        <v>131</v>
      </c>
    </row>
    <row r="3" spans="1:20" x14ac:dyDescent="0.55000000000000004">
      <c r="B3" s="163" t="s">
        <v>36</v>
      </c>
      <c r="C3" s="46" t="s">
        <v>3</v>
      </c>
      <c r="D3" s="46" t="s">
        <v>3</v>
      </c>
      <c r="E3" s="166" t="s">
        <v>118</v>
      </c>
      <c r="F3" s="167"/>
      <c r="G3" s="167"/>
      <c r="H3" s="168"/>
      <c r="I3" s="46" t="s">
        <v>9</v>
      </c>
      <c r="J3" s="169" t="s">
        <v>11</v>
      </c>
      <c r="K3" s="47"/>
      <c r="L3" s="44" t="s">
        <v>49</v>
      </c>
      <c r="M3" s="66">
        <f>2812000+225000+2102300+66900+7758463</f>
        <v>12964663</v>
      </c>
    </row>
    <row r="4" spans="1:20" x14ac:dyDescent="0.55000000000000004">
      <c r="B4" s="164"/>
      <c r="C4" s="48" t="s">
        <v>4</v>
      </c>
      <c r="D4" s="48" t="s">
        <v>99</v>
      </c>
      <c r="E4" s="46" t="s">
        <v>39</v>
      </c>
      <c r="F4" s="46" t="s">
        <v>39</v>
      </c>
      <c r="G4" s="46" t="s">
        <v>38</v>
      </c>
      <c r="H4" s="46" t="s">
        <v>9</v>
      </c>
      <c r="I4" s="48" t="s">
        <v>40</v>
      </c>
      <c r="J4" s="170"/>
      <c r="K4" s="47"/>
      <c r="L4" s="75"/>
      <c r="M4" s="76">
        <f>M3/12</f>
        <v>1080388.5833333333</v>
      </c>
      <c r="N4" s="47"/>
      <c r="O4" s="47"/>
      <c r="P4" s="47"/>
      <c r="Q4" s="47"/>
    </row>
    <row r="5" spans="1:20" x14ac:dyDescent="0.55000000000000004">
      <c r="B5" s="165"/>
      <c r="C5" s="49" t="s">
        <v>57</v>
      </c>
      <c r="D5" s="49" t="s">
        <v>57</v>
      </c>
      <c r="E5" s="49" t="s">
        <v>57</v>
      </c>
      <c r="F5" s="79" t="s">
        <v>100</v>
      </c>
      <c r="G5" s="49" t="s">
        <v>57</v>
      </c>
      <c r="H5" s="49" t="s">
        <v>40</v>
      </c>
      <c r="I5" s="79"/>
      <c r="J5" s="171"/>
      <c r="K5" s="47"/>
      <c r="L5" s="47"/>
      <c r="M5" s="47"/>
      <c r="N5" s="44" t="s">
        <v>64</v>
      </c>
      <c r="O5" s="47"/>
      <c r="P5" s="47"/>
      <c r="Q5" s="47"/>
    </row>
    <row r="6" spans="1:20" ht="27.95" customHeight="1" x14ac:dyDescent="0.55000000000000004">
      <c r="B6" s="73" t="s">
        <v>44</v>
      </c>
      <c r="C6" s="74">
        <f>77882029+8212669</f>
        <v>86094698</v>
      </c>
      <c r="D6" s="74">
        <f>C6</f>
        <v>86094698</v>
      </c>
      <c r="E6" s="103">
        <f>C6</f>
        <v>86094698</v>
      </c>
      <c r="F6" s="103">
        <f>D6</f>
        <v>86094698</v>
      </c>
      <c r="G6" s="74">
        <f>75357966.22+8169507.38</f>
        <v>83527473.599999994</v>
      </c>
      <c r="H6" s="72">
        <f t="shared" ref="H6:H12" si="0">G6*100/F6</f>
        <v>97.018138794098547</v>
      </c>
      <c r="I6" s="72">
        <f t="shared" ref="I6:I12" si="1">G6*100/E6</f>
        <v>97.018138794098547</v>
      </c>
      <c r="J6" s="130" t="s">
        <v>135</v>
      </c>
      <c r="K6" s="53"/>
      <c r="L6" s="51">
        <f>24715945.49-24912136.79</f>
        <v>-196191.30000000075</v>
      </c>
      <c r="M6" s="44" t="str">
        <f>B6</f>
        <v xml:space="preserve"> งบดำเนินงาน</v>
      </c>
      <c r="N6" s="66">
        <f>1536317.33-112083</f>
        <v>1424234.33</v>
      </c>
    </row>
    <row r="7" spans="1:20" ht="27.95" customHeight="1" x14ac:dyDescent="0.55000000000000004">
      <c r="B7" s="73" t="s">
        <v>45</v>
      </c>
      <c r="C7" s="74">
        <f>820630+9701000</f>
        <v>10521630</v>
      </c>
      <c r="D7" s="74">
        <f>C7</f>
        <v>10521630</v>
      </c>
      <c r="E7" s="70">
        <f t="shared" ref="E7:E9" si="2">C7</f>
        <v>10521630</v>
      </c>
      <c r="F7" s="103">
        <f>D7</f>
        <v>10521630</v>
      </c>
      <c r="G7" s="74">
        <f>820090+4938990</f>
        <v>5759080</v>
      </c>
      <c r="H7" s="72">
        <f t="shared" si="0"/>
        <v>54.735625563719687</v>
      </c>
      <c r="I7" s="72">
        <f t="shared" si="1"/>
        <v>54.735625563719687</v>
      </c>
      <c r="J7" s="130" t="s">
        <v>137</v>
      </c>
      <c r="K7" s="53"/>
      <c r="M7" s="44" t="str">
        <f t="shared" ref="M7:M8" si="3">B7</f>
        <v xml:space="preserve"> งบลงทุน</v>
      </c>
      <c r="N7" s="66">
        <v>4739560</v>
      </c>
      <c r="P7" s="115" t="s">
        <v>112</v>
      </c>
      <c r="Q7" s="115"/>
      <c r="R7" s="115" t="s">
        <v>111</v>
      </c>
      <c r="S7" s="115"/>
    </row>
    <row r="8" spans="1:20" ht="27.95" customHeight="1" x14ac:dyDescent="0.55000000000000004">
      <c r="B8" s="73" t="s">
        <v>46</v>
      </c>
      <c r="C8" s="74">
        <f>48916603</f>
        <v>48916603</v>
      </c>
      <c r="D8" s="74">
        <f>C8</f>
        <v>48916603</v>
      </c>
      <c r="E8" s="70">
        <f t="shared" si="2"/>
        <v>48916603</v>
      </c>
      <c r="F8" s="103">
        <f>D8</f>
        <v>48916603</v>
      </c>
      <c r="G8" s="74">
        <f>44410105.5</f>
        <v>44410105.5</v>
      </c>
      <c r="H8" s="72">
        <f t="shared" si="0"/>
        <v>90.787386646615673</v>
      </c>
      <c r="I8" s="72">
        <f t="shared" si="1"/>
        <v>90.787386646615673</v>
      </c>
      <c r="J8" s="130" t="s">
        <v>140</v>
      </c>
      <c r="K8" s="53"/>
      <c r="M8" s="44" t="str">
        <f t="shared" si="3"/>
        <v xml:space="preserve"> งบเงินอุดหนุน</v>
      </c>
      <c r="N8" s="66">
        <f>S12</f>
        <v>3074429</v>
      </c>
      <c r="P8" s="115">
        <v>1</v>
      </c>
      <c r="Q8" s="116">
        <v>39286.6</v>
      </c>
      <c r="R8" s="115">
        <v>1</v>
      </c>
      <c r="S8" s="116">
        <v>365136</v>
      </c>
    </row>
    <row r="9" spans="1:20" ht="27.95" customHeight="1" x14ac:dyDescent="0.55000000000000004">
      <c r="B9" s="73" t="s">
        <v>47</v>
      </c>
      <c r="C9" s="74">
        <v>54312913</v>
      </c>
      <c r="D9" s="74">
        <f>C9</f>
        <v>54312913</v>
      </c>
      <c r="E9" s="70">
        <f t="shared" si="2"/>
        <v>54312913</v>
      </c>
      <c r="F9" s="103">
        <f>D9</f>
        <v>54312913</v>
      </c>
      <c r="G9" s="74">
        <f>51888637.87</f>
        <v>51888637.869999997</v>
      </c>
      <c r="H9" s="72">
        <f t="shared" si="0"/>
        <v>95.536466383233758</v>
      </c>
      <c r="I9" s="72">
        <f t="shared" si="1"/>
        <v>95.536466383233758</v>
      </c>
      <c r="J9" s="130" t="s">
        <v>138</v>
      </c>
      <c r="K9" s="53"/>
      <c r="L9" s="40" t="s">
        <v>58</v>
      </c>
      <c r="M9" s="44" t="s">
        <v>114</v>
      </c>
      <c r="N9" s="66">
        <f>10900+10900+112083</f>
        <v>133883</v>
      </c>
      <c r="P9" s="115">
        <v>2</v>
      </c>
      <c r="Q9" s="116">
        <v>946130.4</v>
      </c>
      <c r="R9" s="115">
        <v>2</v>
      </c>
      <c r="S9" s="116">
        <v>1695246</v>
      </c>
    </row>
    <row r="10" spans="1:20" s="35" customFormat="1" ht="30.75" customHeight="1" thickBot="1" x14ac:dyDescent="0.6">
      <c r="B10" s="36" t="s">
        <v>12</v>
      </c>
      <c r="C10" s="37">
        <f>SUM(C6:C9)</f>
        <v>199845844</v>
      </c>
      <c r="D10" s="37">
        <f t="shared" ref="D10:G10" si="4">SUM(D6:D9)</f>
        <v>199845844</v>
      </c>
      <c r="E10" s="37">
        <f t="shared" si="4"/>
        <v>199845844</v>
      </c>
      <c r="F10" s="37">
        <f>SUM(F6:F9)</f>
        <v>199845844</v>
      </c>
      <c r="G10" s="37">
        <f t="shared" si="4"/>
        <v>185585296.97</v>
      </c>
      <c r="H10" s="38">
        <f t="shared" si="0"/>
        <v>92.864226373404094</v>
      </c>
      <c r="I10" s="38">
        <f t="shared" si="1"/>
        <v>92.864226373404094</v>
      </c>
      <c r="J10" s="130" t="s">
        <v>136</v>
      </c>
      <c r="K10" s="39"/>
      <c r="L10" s="40"/>
      <c r="M10" s="44"/>
      <c r="N10" s="131">
        <f>SUM(N6:N9)</f>
        <v>9372106.3300000001</v>
      </c>
      <c r="O10" s="44"/>
      <c r="P10" s="115">
        <v>2</v>
      </c>
      <c r="Q10" s="116">
        <v>6280</v>
      </c>
      <c r="R10" s="121">
        <v>2</v>
      </c>
      <c r="S10" s="132">
        <v>22350</v>
      </c>
    </row>
    <row r="11" spans="1:20" ht="27.75" customHeight="1" thickTop="1" thickBot="1" x14ac:dyDescent="0.6">
      <c r="B11" s="73" t="s">
        <v>25</v>
      </c>
      <c r="C11" s="74">
        <f>3172380+836000+2051280+2013060</f>
        <v>8072720</v>
      </c>
      <c r="D11" s="74">
        <f>C11</f>
        <v>8072720</v>
      </c>
      <c r="E11" s="74">
        <f>C11</f>
        <v>8072720</v>
      </c>
      <c r="F11" s="74">
        <f>E11</f>
        <v>8072720</v>
      </c>
      <c r="G11" s="74">
        <f>2390367+598608+2051280+1298712</f>
        <v>6338967</v>
      </c>
      <c r="H11" s="72">
        <f t="shared" si="0"/>
        <v>78.523310606586136</v>
      </c>
      <c r="I11" s="72">
        <f t="shared" si="1"/>
        <v>78.523310606586136</v>
      </c>
      <c r="J11" s="130" t="s">
        <v>139</v>
      </c>
      <c r="K11" s="53"/>
      <c r="L11" s="66"/>
      <c r="M11" s="133" t="s">
        <v>115</v>
      </c>
      <c r="N11" s="59">
        <f>254879+796900+666890+10231529+10462942</f>
        <v>22413140</v>
      </c>
      <c r="P11" s="115"/>
      <c r="Q11" s="124">
        <f>SUM(Q8:Q10)</f>
        <v>991697</v>
      </c>
      <c r="R11" s="116"/>
      <c r="S11" s="124">
        <f>SUM(S8:S10)</f>
        <v>2082732</v>
      </c>
    </row>
    <row r="12" spans="1:20" s="35" customFormat="1" ht="30.75" customHeight="1" thickTop="1" thickBot="1" x14ac:dyDescent="0.6">
      <c r="B12" s="36" t="s">
        <v>13</v>
      </c>
      <c r="C12" s="37">
        <f>+C10+C11</f>
        <v>207918564</v>
      </c>
      <c r="D12" s="37">
        <f t="shared" ref="D12:G12" si="5">+D10+D11</f>
        <v>207918564</v>
      </c>
      <c r="E12" s="37">
        <f t="shared" si="5"/>
        <v>207918564</v>
      </c>
      <c r="F12" s="37">
        <f>+F10+F11</f>
        <v>207918564</v>
      </c>
      <c r="G12" s="37">
        <f t="shared" si="5"/>
        <v>191924263.97</v>
      </c>
      <c r="H12" s="38">
        <f t="shared" si="0"/>
        <v>92.307420885226975</v>
      </c>
      <c r="I12" s="38">
        <f t="shared" si="1"/>
        <v>92.307420885226975</v>
      </c>
      <c r="J12" s="134"/>
      <c r="K12" s="53"/>
      <c r="L12" s="41">
        <f>77882029+8212669+820630+9701000+48916603+54312913-C10</f>
        <v>0</v>
      </c>
      <c r="M12" s="135" t="s">
        <v>116</v>
      </c>
      <c r="N12" s="136">
        <f>N10+N11</f>
        <v>31785246.329999998</v>
      </c>
      <c r="P12" s="121"/>
      <c r="Q12" s="121"/>
      <c r="R12" s="121"/>
      <c r="S12" s="122">
        <f>S11+Q11</f>
        <v>3074429</v>
      </c>
      <c r="T12" s="35">
        <f>44412308.5-44410105.5</f>
        <v>2203</v>
      </c>
    </row>
    <row r="13" spans="1:20" s="35" customFormat="1" ht="11.25" customHeight="1" thickTop="1" x14ac:dyDescent="0.55000000000000004">
      <c r="B13" s="63"/>
      <c r="C13" s="64"/>
      <c r="D13" s="64"/>
      <c r="E13" s="64"/>
      <c r="F13" s="64"/>
      <c r="G13" s="64"/>
      <c r="H13" s="65"/>
      <c r="I13" s="65"/>
      <c r="J13" s="53"/>
      <c r="K13" s="53"/>
    </row>
    <row r="14" spans="1:20" x14ac:dyDescent="0.55000000000000004">
      <c r="A14" s="78" t="s">
        <v>53</v>
      </c>
      <c r="B14" s="78"/>
      <c r="J14" s="59"/>
      <c r="L14" s="66">
        <f>75357966.22+8169507.38+820090+4938990+44410105.5+51888637.87</f>
        <v>185585296.97</v>
      </c>
      <c r="M14" s="66"/>
    </row>
    <row r="15" spans="1:20" x14ac:dyDescent="0.55000000000000004">
      <c r="A15" s="78"/>
      <c r="B15" s="78" t="s">
        <v>109</v>
      </c>
      <c r="L15" s="66">
        <f>G8+G29</f>
        <v>47484534.5</v>
      </c>
    </row>
    <row r="16" spans="1:20" x14ac:dyDescent="0.55000000000000004">
      <c r="A16" s="78"/>
      <c r="B16" s="78" t="s">
        <v>120</v>
      </c>
      <c r="L16" s="66"/>
    </row>
    <row r="17" spans="1:20" ht="23.1" customHeight="1" x14ac:dyDescent="0.55000000000000004">
      <c r="A17" s="78" t="s">
        <v>16</v>
      </c>
      <c r="B17" s="78" t="s">
        <v>110</v>
      </c>
      <c r="L17" s="66">
        <f>406597759-142172600-40680100</f>
        <v>223745059</v>
      </c>
      <c r="N17" s="83" t="s">
        <v>65</v>
      </c>
    </row>
    <row r="18" spans="1:20" x14ac:dyDescent="0.55000000000000004">
      <c r="A18" s="78"/>
      <c r="B18" s="78" t="s">
        <v>113</v>
      </c>
      <c r="L18" s="66"/>
      <c r="N18" s="33"/>
      <c r="T18" s="66">
        <f>714348+782013+1424234.33+4739560+3139697+133883</f>
        <v>10933735.33</v>
      </c>
    </row>
    <row r="19" spans="1:20" x14ac:dyDescent="0.55000000000000004">
      <c r="A19" s="78"/>
      <c r="B19" s="78" t="s">
        <v>130</v>
      </c>
      <c r="L19" s="66"/>
      <c r="N19" s="33"/>
      <c r="T19" s="66"/>
    </row>
    <row r="20" spans="1:20" ht="24" customHeight="1" x14ac:dyDescent="0.55000000000000004">
      <c r="B20" s="78" t="s">
        <v>133</v>
      </c>
      <c r="J20" s="66"/>
      <c r="L20" s="66">
        <f>337318847.45-126227695.47-37834382.68</f>
        <v>173256769.29999998</v>
      </c>
      <c r="N20" s="84" t="s">
        <v>63</v>
      </c>
    </row>
    <row r="21" spans="1:20" x14ac:dyDescent="0.55000000000000004">
      <c r="B21" s="78" t="s">
        <v>132</v>
      </c>
      <c r="H21" s="44" t="s">
        <v>17</v>
      </c>
      <c r="L21" s="59">
        <f>44410105.5-D8</f>
        <v>-4506497.5</v>
      </c>
    </row>
    <row r="22" spans="1:20" x14ac:dyDescent="0.55000000000000004">
      <c r="B22" s="78" t="s">
        <v>134</v>
      </c>
      <c r="H22" s="77" t="s">
        <v>50</v>
      </c>
      <c r="I22" s="77"/>
    </row>
    <row r="23" spans="1:20" hidden="1" x14ac:dyDescent="0.55000000000000004">
      <c r="H23" s="77" t="s">
        <v>51</v>
      </c>
      <c r="I23" s="77"/>
      <c r="L23" s="44">
        <f>L20*100/L17</f>
        <v>77.43490295354411</v>
      </c>
    </row>
    <row r="24" spans="1:20" hidden="1" x14ac:dyDescent="0.55000000000000004">
      <c r="H24" s="77" t="s">
        <v>52</v>
      </c>
      <c r="I24" s="77"/>
    </row>
    <row r="25" spans="1:20" x14ac:dyDescent="0.55000000000000004">
      <c r="G25" s="59"/>
      <c r="L25" s="59">
        <f>44410105.5+G29</f>
        <v>47484534.5</v>
      </c>
    </row>
    <row r="26" spans="1:20" x14ac:dyDescent="0.55000000000000004">
      <c r="B26" s="98"/>
      <c r="L26" s="59">
        <f>L25*100/48916603</f>
        <v>97.07242855764126</v>
      </c>
    </row>
    <row r="27" spans="1:20" x14ac:dyDescent="0.55000000000000004">
      <c r="B27" s="44" t="s">
        <v>66</v>
      </c>
      <c r="G27" s="66">
        <f>N6</f>
        <v>1424234.33</v>
      </c>
      <c r="I27" s="44" t="s">
        <v>128</v>
      </c>
      <c r="L27" s="66">
        <f>714348+103508.84+782012.74</f>
        <v>1599869.58</v>
      </c>
    </row>
    <row r="28" spans="1:20" x14ac:dyDescent="0.55000000000000004">
      <c r="B28" s="44" t="s">
        <v>67</v>
      </c>
      <c r="G28" s="66">
        <f>4739560</f>
        <v>4739560</v>
      </c>
      <c r="I28" s="44" t="s">
        <v>103</v>
      </c>
      <c r="L28" s="59">
        <f>L27-[1]คลองสามวา!$H$95</f>
        <v>0</v>
      </c>
    </row>
    <row r="29" spans="1:20" x14ac:dyDescent="0.55000000000000004">
      <c r="B29" s="44" t="s">
        <v>68</v>
      </c>
      <c r="G29" s="66">
        <f>N8</f>
        <v>3074429</v>
      </c>
      <c r="I29" s="44" t="s">
        <v>128</v>
      </c>
    </row>
    <row r="30" spans="1:20" x14ac:dyDescent="0.55000000000000004">
      <c r="B30" s="44" t="s">
        <v>93</v>
      </c>
      <c r="G30" s="137">
        <f>10900+10900+112083</f>
        <v>133883</v>
      </c>
      <c r="H30" s="106">
        <f>SUM(G27:G30)</f>
        <v>9372106.3300000001</v>
      </c>
      <c r="I30" s="44" t="s">
        <v>128</v>
      </c>
      <c r="L30" s="59">
        <f>48916603-G29</f>
        <v>45842174</v>
      </c>
      <c r="M30" s="59">
        <f>L30-48916603</f>
        <v>-3074429</v>
      </c>
    </row>
    <row r="31" spans="1:20" x14ac:dyDescent="0.55000000000000004">
      <c r="B31" s="44" t="s">
        <v>105</v>
      </c>
      <c r="G31" s="137">
        <f>57405+179987-G30</f>
        <v>103509</v>
      </c>
      <c r="H31" s="113"/>
      <c r="I31" s="44" t="s">
        <v>10</v>
      </c>
      <c r="L31" s="59">
        <f>44410105.5+G29</f>
        <v>47484534.5</v>
      </c>
      <c r="M31" s="59">
        <f>L31-44410105.5</f>
        <v>3074429</v>
      </c>
    </row>
    <row r="32" spans="1:20" x14ac:dyDescent="0.55000000000000004">
      <c r="B32" s="44" t="s">
        <v>101</v>
      </c>
      <c r="G32" s="66">
        <f>714348</f>
        <v>714348</v>
      </c>
      <c r="H32" s="78"/>
    </row>
    <row r="33" spans="2:9" x14ac:dyDescent="0.55000000000000004">
      <c r="B33" s="44" t="s">
        <v>73</v>
      </c>
      <c r="G33" s="66"/>
      <c r="H33" s="78"/>
    </row>
    <row r="34" spans="2:9" x14ac:dyDescent="0.55000000000000004">
      <c r="B34" s="44" t="s">
        <v>102</v>
      </c>
      <c r="G34" s="66">
        <f>782012.74</f>
        <v>782012.74</v>
      </c>
      <c r="H34" s="106">
        <f>SUM(G31:G34)</f>
        <v>1599869.74</v>
      </c>
    </row>
    <row r="35" spans="2:9" x14ac:dyDescent="0.55000000000000004">
      <c r="B35" s="44" t="s">
        <v>71</v>
      </c>
    </row>
    <row r="36" spans="2:9" x14ac:dyDescent="0.55000000000000004">
      <c r="B36" s="44" t="s">
        <v>117</v>
      </c>
      <c r="G36" s="66">
        <f>255100+328400</f>
        <v>583500</v>
      </c>
    </row>
    <row r="37" spans="2:9" x14ac:dyDescent="0.55000000000000004">
      <c r="B37" s="44" t="s">
        <v>127</v>
      </c>
    </row>
    <row r="38" spans="2:9" ht="24.75" thickBot="1" x14ac:dyDescent="0.6">
      <c r="B38" s="44" t="s">
        <v>121</v>
      </c>
      <c r="G38" s="97">
        <f>SUM(G27:G37)</f>
        <v>11555476.07</v>
      </c>
    </row>
    <row r="39" spans="2:9" ht="24.75" thickTop="1" x14ac:dyDescent="0.55000000000000004"/>
    <row r="40" spans="2:9" x14ac:dyDescent="0.55000000000000004">
      <c r="C40" s="59"/>
      <c r="D40" s="59"/>
      <c r="I40" s="114"/>
    </row>
    <row r="41" spans="2:9" x14ac:dyDescent="0.55000000000000004">
      <c r="I41" s="114"/>
    </row>
  </sheetData>
  <mergeCells count="3">
    <mergeCell ref="B3:B5"/>
    <mergeCell ref="E3:H3"/>
    <mergeCell ref="J3:J5"/>
  </mergeCells>
  <pageMargins left="0.31496062992125984" right="0.31496062992125984" top="0.51181102362204722" bottom="0.19685039370078741" header="0.31496062992125984" footer="0.31496062992125984"/>
  <pageSetup paperSize="9" scale="96" fitToHeight="0" orientation="landscape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92F43-9DB0-421C-B601-71C9E97D0759}">
  <sheetPr>
    <tabColor rgb="FFFF0000"/>
  </sheetPr>
  <dimension ref="A1:T14"/>
  <sheetViews>
    <sheetView workbookViewId="0">
      <selection activeCell="E16" sqref="E16"/>
    </sheetView>
  </sheetViews>
  <sheetFormatPr defaultColWidth="9" defaultRowHeight="24" x14ac:dyDescent="0.55000000000000004"/>
  <cols>
    <col min="1" max="1" width="2" style="44" customWidth="1"/>
    <col min="2" max="2" width="25.75" style="44" customWidth="1"/>
    <col min="3" max="5" width="15.125" style="44" customWidth="1"/>
    <col min="6" max="6" width="1.375" style="44" customWidth="1"/>
    <col min="7" max="7" width="15.125" style="44" customWidth="1"/>
    <col min="8" max="8" width="11" style="44" hidden="1" customWidth="1"/>
    <col min="9" max="9" width="9.625" style="44" customWidth="1"/>
    <col min="10" max="10" width="35.75" style="44" customWidth="1"/>
    <col min="11" max="11" width="1.625" style="44" customWidth="1"/>
    <col min="12" max="12" width="15.75" style="44" customWidth="1"/>
    <col min="13" max="13" width="14.375" style="44" customWidth="1"/>
    <col min="14" max="14" width="13.25" style="85" customWidth="1"/>
    <col min="15" max="15" width="14.375" style="44" customWidth="1"/>
    <col min="16" max="16" width="9" style="44" customWidth="1"/>
    <col min="17" max="17" width="9.75" style="44" customWidth="1"/>
    <col min="18" max="18" width="9" style="44" customWidth="1"/>
    <col min="19" max="19" width="11.375" style="44" customWidth="1"/>
    <col min="20" max="20" width="13.375" style="44" bestFit="1" customWidth="1"/>
    <col min="21" max="16384" width="9" style="44"/>
  </cols>
  <sheetData>
    <row r="1" spans="1:20" x14ac:dyDescent="0.55000000000000004">
      <c r="A1" s="35" t="s">
        <v>0</v>
      </c>
      <c r="B1" s="98"/>
    </row>
    <row r="2" spans="1:20" x14ac:dyDescent="0.55000000000000004">
      <c r="A2" s="35" t="s">
        <v>1</v>
      </c>
      <c r="B2" s="44" t="s">
        <v>66</v>
      </c>
      <c r="G2" s="66">
        <v>1424234.33</v>
      </c>
      <c r="I2" s="44" t="s">
        <v>104</v>
      </c>
    </row>
    <row r="3" spans="1:20" x14ac:dyDescent="0.55000000000000004">
      <c r="B3" s="44" t="s">
        <v>67</v>
      </c>
      <c r="G3" s="66">
        <v>4739560</v>
      </c>
      <c r="I3" s="44" t="s">
        <v>103</v>
      </c>
      <c r="K3" s="47"/>
      <c r="L3" s="44" t="s">
        <v>49</v>
      </c>
      <c r="M3" s="66">
        <f>2812000+225000+2102300+66900+7758463</f>
        <v>12964663</v>
      </c>
    </row>
    <row r="4" spans="1:20" x14ac:dyDescent="0.55000000000000004">
      <c r="B4" s="44" t="s">
        <v>68</v>
      </c>
      <c r="G4" s="66">
        <v>3074429</v>
      </c>
      <c r="I4" s="44" t="s">
        <v>104</v>
      </c>
      <c r="K4" s="47"/>
      <c r="L4" s="75"/>
      <c r="M4" s="76">
        <f>M3/12</f>
        <v>1080388.5833333333</v>
      </c>
      <c r="N4" s="86"/>
      <c r="O4" s="47"/>
      <c r="P4" s="47"/>
      <c r="Q4" s="47"/>
    </row>
    <row r="5" spans="1:20" x14ac:dyDescent="0.55000000000000004">
      <c r="B5" s="44" t="s">
        <v>93</v>
      </c>
      <c r="G5" s="112">
        <v>133883</v>
      </c>
      <c r="H5" s="106">
        <f>SUM(G2:G5)</f>
        <v>9372106.3300000001</v>
      </c>
      <c r="I5" s="44" t="s">
        <v>104</v>
      </c>
      <c r="K5" s="47"/>
      <c r="L5" s="47"/>
      <c r="M5" s="47"/>
      <c r="N5" s="85" t="s">
        <v>64</v>
      </c>
      <c r="O5" s="47"/>
      <c r="P5" s="47"/>
      <c r="Q5" s="47"/>
    </row>
    <row r="6" spans="1:20" ht="27.95" customHeight="1" x14ac:dyDescent="0.55000000000000004">
      <c r="B6" s="44" t="s">
        <v>105</v>
      </c>
      <c r="G6" s="112">
        <v>103509</v>
      </c>
      <c r="H6" s="113"/>
      <c r="I6" s="44" t="s">
        <v>10</v>
      </c>
      <c r="K6" s="53"/>
      <c r="L6" s="51">
        <f>24715945.49-24912136.79</f>
        <v>-196191.30000000075</v>
      </c>
      <c r="M6" s="44" t="str">
        <f>B6</f>
        <v>5. ยอดคงเหลือ งบกลาง (17) กรณีค่าใช้จ่ายเพื่อการพัฒนากรุงเทพมหานคร</v>
      </c>
      <c r="N6" s="87">
        <f>1536317.33-112083</f>
        <v>1424234.33</v>
      </c>
    </row>
    <row r="7" spans="1:20" ht="27.95" customHeight="1" x14ac:dyDescent="0.55000000000000004">
      <c r="B7" s="44" t="s">
        <v>101</v>
      </c>
      <c r="G7" s="66">
        <v>714348</v>
      </c>
      <c r="H7" s="78"/>
      <c r="K7" s="53"/>
      <c r="M7" s="44" t="str">
        <f t="shared" ref="M7:M8" si="0">B7</f>
        <v>6. งบกลาง (68) คชจ.เกี่ยวกับภารกิจ/นโยบายรัฐบาล</v>
      </c>
      <c r="N7" s="87">
        <v>4739560</v>
      </c>
      <c r="P7" s="115" t="s">
        <v>112</v>
      </c>
      <c r="Q7" s="115"/>
      <c r="R7" s="115" t="s">
        <v>111</v>
      </c>
      <c r="S7" s="115"/>
    </row>
    <row r="8" spans="1:20" ht="27.95" customHeight="1" x14ac:dyDescent="0.55000000000000004">
      <c r="B8" s="44" t="s">
        <v>73</v>
      </c>
      <c r="G8" s="66"/>
      <c r="H8" s="78"/>
      <c r="K8" s="53"/>
      <c r="M8" s="44" t="str">
        <f t="shared" si="0"/>
        <v xml:space="preserve">    เบิกจ่ายข้ามปีได้  เบิกจ่ายปีการศึกษา 2/65</v>
      </c>
      <c r="N8" s="87">
        <f>S12</f>
        <v>3074429</v>
      </c>
      <c r="P8" s="115">
        <v>1</v>
      </c>
      <c r="Q8" s="116">
        <v>39286.6</v>
      </c>
      <c r="R8" s="115">
        <v>1</v>
      </c>
      <c r="S8" s="116">
        <v>365136</v>
      </c>
    </row>
    <row r="9" spans="1:20" ht="27.95" customHeight="1" x14ac:dyDescent="0.55000000000000004">
      <c r="B9" s="44" t="s">
        <v>102</v>
      </c>
      <c r="G9" s="66">
        <f>782013</f>
        <v>782013</v>
      </c>
      <c r="H9" s="106">
        <f>SUM(G6:G9)</f>
        <v>1599870</v>
      </c>
      <c r="K9" s="53"/>
      <c r="L9" s="80" t="s">
        <v>58</v>
      </c>
      <c r="M9" s="44" t="s">
        <v>114</v>
      </c>
      <c r="N9" s="87">
        <f>10900+10900+112083</f>
        <v>133883</v>
      </c>
      <c r="P9" s="115">
        <v>2</v>
      </c>
      <c r="Q9" s="116">
        <v>946130.4</v>
      </c>
      <c r="R9" s="115">
        <v>2</v>
      </c>
      <c r="S9" s="116">
        <v>1695246</v>
      </c>
    </row>
    <row r="10" spans="1:20" s="90" customFormat="1" ht="30.75" customHeight="1" thickBot="1" x14ac:dyDescent="0.6">
      <c r="B10" s="44" t="s">
        <v>71</v>
      </c>
      <c r="C10" s="44"/>
      <c r="D10" s="44"/>
      <c r="E10" s="44"/>
      <c r="F10" s="44"/>
      <c r="G10" s="44"/>
      <c r="H10" s="44"/>
      <c r="I10" s="44"/>
      <c r="J10" s="44"/>
      <c r="K10" s="94"/>
      <c r="L10" s="80"/>
      <c r="M10" s="44"/>
      <c r="N10" s="123">
        <f>SUM(N6:N9)</f>
        <v>9372106.3300000001</v>
      </c>
      <c r="O10" s="96"/>
      <c r="P10" s="117">
        <v>2</v>
      </c>
      <c r="Q10" s="118">
        <v>6280</v>
      </c>
      <c r="R10" s="119">
        <v>2</v>
      </c>
      <c r="S10" s="120">
        <v>22350</v>
      </c>
    </row>
    <row r="11" spans="1:20" ht="27.75" customHeight="1" thickTop="1" thickBot="1" x14ac:dyDescent="0.6">
      <c r="B11" s="44" t="s">
        <v>117</v>
      </c>
      <c r="G11" s="66">
        <f>255100+328400</f>
        <v>583500</v>
      </c>
      <c r="K11" s="53"/>
      <c r="L11" s="66"/>
      <c r="M11" s="125" t="s">
        <v>115</v>
      </c>
      <c r="N11" s="95">
        <f>254879+796900+666890+10231529+10462942</f>
        <v>22413140</v>
      </c>
      <c r="P11" s="115"/>
      <c r="Q11" s="124">
        <f>SUM(Q8:Q10)</f>
        <v>991697</v>
      </c>
      <c r="R11" s="116"/>
      <c r="S11" s="124">
        <f>SUM(S8:S10)</f>
        <v>2082732</v>
      </c>
    </row>
    <row r="12" spans="1:20" s="35" customFormat="1" ht="30.75" customHeight="1" thickTop="1" thickBot="1" x14ac:dyDescent="0.6">
      <c r="B12" s="44" t="s">
        <v>127</v>
      </c>
      <c r="C12" s="44"/>
      <c r="D12" s="44"/>
      <c r="E12" s="44"/>
      <c r="F12" s="44"/>
      <c r="G12" s="44"/>
      <c r="H12" s="44"/>
      <c r="I12" s="44"/>
      <c r="J12" s="44"/>
      <c r="K12" s="53"/>
      <c r="L12" s="128">
        <f>77882029+8212669+820630+9701000+48916603+54312913-C10</f>
        <v>199845844</v>
      </c>
      <c r="M12" s="126" t="s">
        <v>116</v>
      </c>
      <c r="N12" s="127">
        <f>N10+N11</f>
        <v>31785246.329999998</v>
      </c>
      <c r="P12" s="121"/>
      <c r="Q12" s="121"/>
      <c r="R12" s="121"/>
      <c r="S12" s="122">
        <f>S11+Q11</f>
        <v>3074429</v>
      </c>
      <c r="T12" s="35">
        <f>44412308.5-44410105.5</f>
        <v>2203</v>
      </c>
    </row>
    <row r="13" spans="1:20" s="35" customFormat="1" ht="30.75" customHeight="1" thickTop="1" thickBot="1" x14ac:dyDescent="0.6">
      <c r="B13" s="44" t="s">
        <v>121</v>
      </c>
      <c r="C13" s="44"/>
      <c r="D13" s="44"/>
      <c r="E13" s="44"/>
      <c r="F13" s="44"/>
      <c r="G13" s="97">
        <f>SUM(G2:G12)</f>
        <v>11555476.33</v>
      </c>
      <c r="H13" s="44"/>
      <c r="I13" s="44"/>
      <c r="J13" s="44"/>
      <c r="K13" s="53"/>
      <c r="N13" s="88"/>
    </row>
    <row r="14" spans="1:20" ht="24.75" thickTop="1" x14ac:dyDescent="0.55000000000000004"/>
  </sheetData>
  <pageMargins left="0.59055118110236227" right="0.31496062992125984" top="0.78740157480314965" bottom="0.19685039370078741" header="0.31496062992125984" footer="0.31496062992125984"/>
  <pageSetup paperSize="9" scale="88" fitToHeight="0"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47FCF-84DA-4483-ABCD-0F11EC06D067}">
  <sheetPr>
    <tabColor rgb="FF00B050"/>
  </sheetPr>
  <dimension ref="A1:T41"/>
  <sheetViews>
    <sheetView topLeftCell="A2" workbookViewId="0">
      <selection activeCell="E16" sqref="E16"/>
    </sheetView>
  </sheetViews>
  <sheetFormatPr defaultColWidth="9" defaultRowHeight="24" x14ac:dyDescent="0.55000000000000004"/>
  <cols>
    <col min="1" max="1" width="2" style="44" customWidth="1"/>
    <col min="2" max="2" width="25.75" style="44" customWidth="1"/>
    <col min="3" max="5" width="15.125" style="44" customWidth="1"/>
    <col min="6" max="6" width="16" style="44" customWidth="1"/>
    <col min="7" max="7" width="15.125" style="44" customWidth="1"/>
    <col min="8" max="8" width="11" style="44" hidden="1" customWidth="1"/>
    <col min="9" max="9" width="9.625" style="44" customWidth="1"/>
    <col min="10" max="10" width="35.75" style="44" customWidth="1"/>
    <col min="11" max="11" width="1.625" style="44" customWidth="1"/>
    <col min="12" max="12" width="15.75" style="44" customWidth="1"/>
    <col min="13" max="13" width="14.375" style="44" customWidth="1"/>
    <col min="14" max="14" width="13.25" style="85" customWidth="1"/>
    <col min="15" max="15" width="14.375" style="44" customWidth="1"/>
    <col min="16" max="16" width="9" style="44" customWidth="1"/>
    <col min="17" max="17" width="9.75" style="44" customWidth="1"/>
    <col min="18" max="18" width="9" style="44" customWidth="1"/>
    <col min="19" max="19" width="11.375" style="44" customWidth="1"/>
    <col min="20" max="20" width="13.375" style="44" bestFit="1" customWidth="1"/>
    <col min="21" max="16384" width="9" style="44"/>
  </cols>
  <sheetData>
    <row r="1" spans="1:20" x14ac:dyDescent="0.55000000000000004">
      <c r="A1" s="35" t="s">
        <v>0</v>
      </c>
    </row>
    <row r="2" spans="1:20" x14ac:dyDescent="0.55000000000000004">
      <c r="A2" s="35" t="s">
        <v>1</v>
      </c>
      <c r="J2" s="45"/>
    </row>
    <row r="3" spans="1:20" x14ac:dyDescent="0.55000000000000004">
      <c r="B3" s="163" t="s">
        <v>36</v>
      </c>
      <c r="C3" s="46" t="s">
        <v>3</v>
      </c>
      <c r="D3" s="107" t="s">
        <v>3</v>
      </c>
      <c r="E3" s="166" t="s">
        <v>118</v>
      </c>
      <c r="F3" s="167"/>
      <c r="G3" s="167"/>
      <c r="H3" s="168"/>
      <c r="I3" s="46" t="s">
        <v>9</v>
      </c>
      <c r="J3" s="169" t="s">
        <v>11</v>
      </c>
      <c r="K3" s="47"/>
      <c r="L3" s="44" t="s">
        <v>49</v>
      </c>
      <c r="M3" s="66">
        <f>2812000+225000+2102300+66900+7758463</f>
        <v>12964663</v>
      </c>
    </row>
    <row r="4" spans="1:20" x14ac:dyDescent="0.55000000000000004">
      <c r="B4" s="164"/>
      <c r="C4" s="48" t="s">
        <v>4</v>
      </c>
      <c r="D4" s="108" t="s">
        <v>99</v>
      </c>
      <c r="E4" s="46" t="s">
        <v>39</v>
      </c>
      <c r="F4" s="107" t="s">
        <v>39</v>
      </c>
      <c r="G4" s="46" t="s">
        <v>38</v>
      </c>
      <c r="H4" s="46" t="s">
        <v>9</v>
      </c>
      <c r="I4" s="48" t="s">
        <v>40</v>
      </c>
      <c r="J4" s="170"/>
      <c r="K4" s="47"/>
      <c r="L4" s="75"/>
      <c r="M4" s="76">
        <f>M3/12</f>
        <v>1080388.5833333333</v>
      </c>
      <c r="N4" s="86"/>
      <c r="O4" s="47"/>
      <c r="P4" s="47"/>
      <c r="Q4" s="47"/>
    </row>
    <row r="5" spans="1:20" x14ac:dyDescent="0.55000000000000004">
      <c r="B5" s="165"/>
      <c r="C5" s="49" t="s">
        <v>57</v>
      </c>
      <c r="D5" s="109" t="s">
        <v>57</v>
      </c>
      <c r="E5" s="49" t="s">
        <v>57</v>
      </c>
      <c r="F5" s="110" t="s">
        <v>100</v>
      </c>
      <c r="G5" s="49" t="s">
        <v>57</v>
      </c>
      <c r="H5" s="49" t="s">
        <v>40</v>
      </c>
      <c r="I5" s="79"/>
      <c r="J5" s="171"/>
      <c r="K5" s="47"/>
      <c r="L5" s="47"/>
      <c r="M5" s="47"/>
      <c r="N5" s="85" t="s">
        <v>64</v>
      </c>
      <c r="O5" s="47"/>
      <c r="P5" s="47"/>
      <c r="Q5" s="47"/>
    </row>
    <row r="6" spans="1:20" ht="27.95" customHeight="1" x14ac:dyDescent="0.55000000000000004">
      <c r="B6" s="73" t="s">
        <v>44</v>
      </c>
      <c r="C6" s="74">
        <f>77882029+8212669</f>
        <v>86094698</v>
      </c>
      <c r="D6" s="74">
        <f>C6-G27</f>
        <v>84670463.670000002</v>
      </c>
      <c r="E6" s="103">
        <f>C6</f>
        <v>86094698</v>
      </c>
      <c r="F6" s="103">
        <f>D6</f>
        <v>84670463.670000002</v>
      </c>
      <c r="G6" s="74">
        <f>75357966.22+8169507.38</f>
        <v>83527473.599999994</v>
      </c>
      <c r="H6" s="72">
        <f t="shared" ref="H6:H12" si="0">G6*100/F6</f>
        <v>98.650072267875174</v>
      </c>
      <c r="I6" s="72">
        <f>G6*100/F6</f>
        <v>98.650072267875174</v>
      </c>
      <c r="J6" s="104"/>
      <c r="K6" s="53"/>
      <c r="L6" s="51">
        <f>24715945.49-24912136.79</f>
        <v>-196191.30000000075</v>
      </c>
      <c r="M6" s="44" t="str">
        <f>B6</f>
        <v xml:space="preserve"> งบดำเนินงาน</v>
      </c>
      <c r="N6" s="87">
        <f>1536317.33-112083</f>
        <v>1424234.33</v>
      </c>
    </row>
    <row r="7" spans="1:20" ht="27.95" customHeight="1" x14ac:dyDescent="0.55000000000000004">
      <c r="B7" s="73" t="s">
        <v>45</v>
      </c>
      <c r="C7" s="74">
        <f>820630+9701000</f>
        <v>10521630</v>
      </c>
      <c r="D7" s="74">
        <f>C7</f>
        <v>10521630</v>
      </c>
      <c r="E7" s="70">
        <f t="shared" ref="E7:E9" si="1">C7</f>
        <v>10521630</v>
      </c>
      <c r="F7" s="103">
        <f>D7</f>
        <v>10521630</v>
      </c>
      <c r="G7" s="74">
        <f>820090+4938990</f>
        <v>5759080</v>
      </c>
      <c r="H7" s="72">
        <f t="shared" si="0"/>
        <v>54.735625563719687</v>
      </c>
      <c r="I7" s="129">
        <f t="shared" ref="I7:I9" si="2">G7*100/F7</f>
        <v>54.735625563719687</v>
      </c>
      <c r="J7" s="102" t="s">
        <v>122</v>
      </c>
      <c r="K7" s="53"/>
      <c r="M7" s="44" t="str">
        <f t="shared" ref="M7:M8" si="3">B7</f>
        <v xml:space="preserve"> งบลงทุน</v>
      </c>
      <c r="N7" s="87">
        <v>4739560</v>
      </c>
      <c r="P7" s="115" t="s">
        <v>112</v>
      </c>
      <c r="Q7" s="115"/>
      <c r="R7" s="115" t="s">
        <v>111</v>
      </c>
      <c r="S7" s="115"/>
    </row>
    <row r="8" spans="1:20" ht="27.95" customHeight="1" x14ac:dyDescent="0.55000000000000004">
      <c r="B8" s="73" t="s">
        <v>46</v>
      </c>
      <c r="C8" s="74">
        <f>48916603</f>
        <v>48916603</v>
      </c>
      <c r="D8" s="74">
        <f>C8-G29</f>
        <v>45842174</v>
      </c>
      <c r="E8" s="70">
        <f t="shared" si="1"/>
        <v>48916603</v>
      </c>
      <c r="F8" s="103">
        <f>D8</f>
        <v>45842174</v>
      </c>
      <c r="G8" s="74">
        <f>44410105.5</f>
        <v>44410105.5</v>
      </c>
      <c r="H8" s="72">
        <f t="shared" si="0"/>
        <v>96.876089471672955</v>
      </c>
      <c r="I8" s="72">
        <f t="shared" si="2"/>
        <v>96.876089471672955</v>
      </c>
      <c r="J8" s="102" t="s">
        <v>123</v>
      </c>
      <c r="K8" s="53"/>
      <c r="M8" s="44" t="str">
        <f t="shared" si="3"/>
        <v xml:space="preserve"> งบเงินอุดหนุน</v>
      </c>
      <c r="N8" s="87">
        <f>S12</f>
        <v>3074429</v>
      </c>
      <c r="P8" s="115">
        <v>1</v>
      </c>
      <c r="Q8" s="116">
        <v>39286.6</v>
      </c>
      <c r="R8" s="115">
        <v>1</v>
      </c>
      <c r="S8" s="116">
        <v>365136</v>
      </c>
    </row>
    <row r="9" spans="1:20" ht="27.95" customHeight="1" x14ac:dyDescent="0.55000000000000004">
      <c r="B9" s="73" t="s">
        <v>47</v>
      </c>
      <c r="C9" s="74">
        <v>54312913</v>
      </c>
      <c r="D9" s="74">
        <f>C9-G36</f>
        <v>53729413</v>
      </c>
      <c r="E9" s="70">
        <f t="shared" si="1"/>
        <v>54312913</v>
      </c>
      <c r="F9" s="103">
        <f>D9</f>
        <v>53729413</v>
      </c>
      <c r="G9" s="74">
        <f>51888637.87</f>
        <v>51888637.869999997</v>
      </c>
      <c r="H9" s="72">
        <f t="shared" si="0"/>
        <v>96.573989874037892</v>
      </c>
      <c r="I9" s="72">
        <f t="shared" si="2"/>
        <v>96.573989874037892</v>
      </c>
      <c r="J9" s="102" t="s">
        <v>125</v>
      </c>
      <c r="K9" s="53"/>
      <c r="L9" s="80" t="s">
        <v>58</v>
      </c>
      <c r="M9" s="44" t="s">
        <v>114</v>
      </c>
      <c r="N9" s="87">
        <f>10900+10900+112083</f>
        <v>133883</v>
      </c>
      <c r="P9" s="115">
        <v>2</v>
      </c>
      <c r="Q9" s="116">
        <v>946130.4</v>
      </c>
      <c r="R9" s="115">
        <v>2</v>
      </c>
      <c r="S9" s="116">
        <v>1695246</v>
      </c>
    </row>
    <row r="10" spans="1:20" s="90" customFormat="1" ht="30.75" customHeight="1" thickBot="1" x14ac:dyDescent="0.6">
      <c r="B10" s="91" t="s">
        <v>12</v>
      </c>
      <c r="C10" s="92">
        <f>SUM(C6:C9)</f>
        <v>199845844</v>
      </c>
      <c r="D10" s="92">
        <f t="shared" ref="D10:G10" si="4">SUM(D6:D9)</f>
        <v>194763680.67000002</v>
      </c>
      <c r="E10" s="92">
        <f t="shared" si="4"/>
        <v>199845844</v>
      </c>
      <c r="F10" s="92">
        <f>SUM(F6:F9)</f>
        <v>194763680.67000002</v>
      </c>
      <c r="G10" s="92">
        <f t="shared" si="4"/>
        <v>185585296.97</v>
      </c>
      <c r="H10" s="93">
        <f t="shared" si="0"/>
        <v>95.287425423248436</v>
      </c>
      <c r="I10" s="93">
        <f>G10*100/F10</f>
        <v>95.287425423248436</v>
      </c>
      <c r="J10" s="102" t="s">
        <v>124</v>
      </c>
      <c r="K10" s="94"/>
      <c r="L10" s="80"/>
      <c r="M10" s="44"/>
      <c r="N10" s="123">
        <f>SUM(N6:N9)</f>
        <v>9372106.3300000001</v>
      </c>
      <c r="O10" s="96"/>
      <c r="P10" s="117">
        <v>2</v>
      </c>
      <c r="Q10" s="118">
        <v>6280</v>
      </c>
      <c r="R10" s="119">
        <v>2</v>
      </c>
      <c r="S10" s="120">
        <v>22350</v>
      </c>
    </row>
    <row r="11" spans="1:20" ht="27.75" customHeight="1" thickTop="1" thickBot="1" x14ac:dyDescent="0.6">
      <c r="B11" s="73" t="s">
        <v>25</v>
      </c>
      <c r="C11" s="74">
        <f>3172380+836000+2051280+2013060</f>
        <v>8072720</v>
      </c>
      <c r="D11" s="82">
        <f>C11-G30-G31-G32-G34</f>
        <v>6338967</v>
      </c>
      <c r="E11" s="74">
        <f>C11</f>
        <v>8072720</v>
      </c>
      <c r="F11" s="82">
        <f>E11-G30-G31-G32-G34</f>
        <v>6338967</v>
      </c>
      <c r="G11" s="74">
        <f>2390367+598608+2051280+1298712</f>
        <v>6338967</v>
      </c>
      <c r="H11" s="72">
        <f t="shared" si="0"/>
        <v>100</v>
      </c>
      <c r="I11" s="72">
        <f>G11*100/F11</f>
        <v>100</v>
      </c>
      <c r="J11" s="102"/>
      <c r="K11" s="53"/>
      <c r="L11" s="66"/>
      <c r="M11" s="125" t="s">
        <v>115</v>
      </c>
      <c r="N11" s="95">
        <f>254879+796900+666890+10231529+10462942</f>
        <v>22413140</v>
      </c>
      <c r="P11" s="115"/>
      <c r="Q11" s="124">
        <f>SUM(Q8:Q10)</f>
        <v>991697</v>
      </c>
      <c r="R11" s="116"/>
      <c r="S11" s="124">
        <f>SUM(S8:S10)</f>
        <v>2082732</v>
      </c>
    </row>
    <row r="12" spans="1:20" s="35" customFormat="1" ht="30.75" customHeight="1" thickTop="1" thickBot="1" x14ac:dyDescent="0.6">
      <c r="B12" s="36" t="s">
        <v>13</v>
      </c>
      <c r="C12" s="37">
        <f>+C10+C11</f>
        <v>207918564</v>
      </c>
      <c r="D12" s="37">
        <f t="shared" ref="D12:G12" si="5">+D10+D11</f>
        <v>201102647.67000002</v>
      </c>
      <c r="E12" s="37">
        <f t="shared" si="5"/>
        <v>207918564</v>
      </c>
      <c r="F12" s="37">
        <f>+F10+F11</f>
        <v>201102647.67000002</v>
      </c>
      <c r="G12" s="37">
        <f t="shared" si="5"/>
        <v>191924263.97</v>
      </c>
      <c r="H12" s="38">
        <f t="shared" si="0"/>
        <v>95.435970731195283</v>
      </c>
      <c r="I12" s="93">
        <f>G12*100/F12</f>
        <v>95.435970731195283</v>
      </c>
      <c r="J12" s="105"/>
      <c r="K12" s="53"/>
      <c r="L12" s="128">
        <f>77882029+8212669+820630+9701000+48916603+54312913-C10</f>
        <v>0</v>
      </c>
      <c r="M12" s="126" t="s">
        <v>116</v>
      </c>
      <c r="N12" s="127">
        <f>N10+N11</f>
        <v>31785246.329999998</v>
      </c>
      <c r="P12" s="121"/>
      <c r="Q12" s="121"/>
      <c r="R12" s="121"/>
      <c r="S12" s="122">
        <f>S11+Q11</f>
        <v>3074429</v>
      </c>
      <c r="T12" s="35">
        <f>44412308.5-44410105.5</f>
        <v>2203</v>
      </c>
    </row>
    <row r="13" spans="1:20" s="35" customFormat="1" ht="11.25" customHeight="1" thickTop="1" x14ac:dyDescent="0.55000000000000004">
      <c r="B13" s="63"/>
      <c r="C13" s="64"/>
      <c r="D13" s="64"/>
      <c r="E13" s="64"/>
      <c r="F13" s="64"/>
      <c r="G13" s="64"/>
      <c r="H13" s="65"/>
      <c r="I13" s="65"/>
      <c r="J13" s="53"/>
      <c r="K13" s="53"/>
      <c r="N13" s="88"/>
    </row>
    <row r="14" spans="1:20" x14ac:dyDescent="0.55000000000000004">
      <c r="A14" s="78" t="s">
        <v>53</v>
      </c>
      <c r="B14" s="78"/>
      <c r="L14" s="66">
        <f>75357966.22+8169507.38+820090+4938990+44410105.5+51888637.87</f>
        <v>185585296.97</v>
      </c>
      <c r="M14" s="66"/>
    </row>
    <row r="15" spans="1:20" x14ac:dyDescent="0.55000000000000004">
      <c r="A15" s="78"/>
      <c r="B15" s="78" t="s">
        <v>109</v>
      </c>
      <c r="L15" s="66">
        <f>G8+G29</f>
        <v>47484534.5</v>
      </c>
    </row>
    <row r="16" spans="1:20" x14ac:dyDescent="0.55000000000000004">
      <c r="A16" s="78"/>
      <c r="B16" s="78" t="s">
        <v>120</v>
      </c>
      <c r="L16" s="66"/>
    </row>
    <row r="17" spans="1:20" ht="23.1" customHeight="1" x14ac:dyDescent="0.55000000000000004">
      <c r="A17" s="78" t="s">
        <v>16</v>
      </c>
      <c r="B17" s="78" t="s">
        <v>110</v>
      </c>
      <c r="L17" s="66">
        <f>406597759-142172600-40680100</f>
        <v>223745059</v>
      </c>
      <c r="N17" s="83" t="s">
        <v>65</v>
      </c>
    </row>
    <row r="18" spans="1:20" x14ac:dyDescent="0.55000000000000004">
      <c r="A18" s="78"/>
      <c r="B18" s="78" t="s">
        <v>113</v>
      </c>
      <c r="L18" s="66"/>
      <c r="N18" s="33"/>
      <c r="T18" s="66">
        <f>714348+782013+1424234.33+4739560+3139697+133883</f>
        <v>10933735.33</v>
      </c>
    </row>
    <row r="19" spans="1:20" x14ac:dyDescent="0.55000000000000004">
      <c r="A19" s="78"/>
      <c r="B19" s="78" t="s">
        <v>126</v>
      </c>
      <c r="L19" s="66"/>
      <c r="N19" s="33"/>
      <c r="T19" s="66"/>
    </row>
    <row r="20" spans="1:20" ht="24" customHeight="1" x14ac:dyDescent="0.55000000000000004">
      <c r="B20" s="78" t="s">
        <v>119</v>
      </c>
      <c r="J20" s="66"/>
      <c r="L20" s="66">
        <f>337318847.45-126227695.47-37834382.68</f>
        <v>173256769.29999998</v>
      </c>
      <c r="N20" s="84" t="s">
        <v>63</v>
      </c>
    </row>
    <row r="21" spans="1:20" x14ac:dyDescent="0.55000000000000004">
      <c r="H21" s="44" t="s">
        <v>17</v>
      </c>
      <c r="L21" s="59">
        <f>44410105.5-D8</f>
        <v>-1432068.5</v>
      </c>
    </row>
    <row r="22" spans="1:20" x14ac:dyDescent="0.55000000000000004">
      <c r="H22" s="77" t="s">
        <v>50</v>
      </c>
      <c r="I22" s="77"/>
    </row>
    <row r="23" spans="1:20" x14ac:dyDescent="0.55000000000000004">
      <c r="H23" s="77" t="s">
        <v>51</v>
      </c>
      <c r="I23" s="77"/>
      <c r="L23" s="44">
        <f>L20*100/L17</f>
        <v>77.43490295354411</v>
      </c>
    </row>
    <row r="24" spans="1:20" x14ac:dyDescent="0.55000000000000004">
      <c r="H24" s="77" t="s">
        <v>52</v>
      </c>
      <c r="I24" s="77"/>
    </row>
    <row r="25" spans="1:20" x14ac:dyDescent="0.55000000000000004">
      <c r="G25" s="59"/>
      <c r="L25" s="59">
        <f>44410105.5+G29</f>
        <v>47484534.5</v>
      </c>
    </row>
    <row r="26" spans="1:20" x14ac:dyDescent="0.55000000000000004">
      <c r="B26" s="98"/>
      <c r="L26" s="59">
        <f>L25*100/48916603</f>
        <v>97.07242855764126</v>
      </c>
    </row>
    <row r="27" spans="1:20" x14ac:dyDescent="0.55000000000000004">
      <c r="B27" s="44" t="s">
        <v>66</v>
      </c>
      <c r="G27" s="66">
        <f>N6</f>
        <v>1424234.33</v>
      </c>
      <c r="I27" s="44" t="s">
        <v>104</v>
      </c>
    </row>
    <row r="28" spans="1:20" x14ac:dyDescent="0.55000000000000004">
      <c r="B28" s="44" t="s">
        <v>67</v>
      </c>
      <c r="G28" s="66">
        <f>4739560</f>
        <v>4739560</v>
      </c>
      <c r="I28" s="44" t="s">
        <v>103</v>
      </c>
    </row>
    <row r="29" spans="1:20" x14ac:dyDescent="0.55000000000000004">
      <c r="B29" s="44" t="s">
        <v>68</v>
      </c>
      <c r="G29" s="66">
        <f>N8</f>
        <v>3074429</v>
      </c>
      <c r="I29" s="44" t="s">
        <v>104</v>
      </c>
    </row>
    <row r="30" spans="1:20" x14ac:dyDescent="0.55000000000000004">
      <c r="B30" s="44" t="s">
        <v>93</v>
      </c>
      <c r="G30" s="112">
        <f>10900+10900+112083</f>
        <v>133883</v>
      </c>
      <c r="H30" s="106">
        <f>SUM(G27:G30)</f>
        <v>9372106.3300000001</v>
      </c>
      <c r="I30" s="44" t="s">
        <v>104</v>
      </c>
      <c r="L30" s="59">
        <f>48916603-G29</f>
        <v>45842174</v>
      </c>
      <c r="M30" s="59">
        <f>L30-48916603</f>
        <v>-3074429</v>
      </c>
    </row>
    <row r="31" spans="1:20" x14ac:dyDescent="0.55000000000000004">
      <c r="B31" s="44" t="s">
        <v>105</v>
      </c>
      <c r="G31" s="112">
        <f>57405+179987-G30</f>
        <v>103509</v>
      </c>
      <c r="H31" s="113"/>
      <c r="I31" s="44" t="s">
        <v>10</v>
      </c>
      <c r="L31" s="59">
        <f>44410105.5+G29</f>
        <v>47484534.5</v>
      </c>
      <c r="M31" s="59">
        <f>L31-44410105.5</f>
        <v>3074429</v>
      </c>
    </row>
    <row r="32" spans="1:20" x14ac:dyDescent="0.55000000000000004">
      <c r="B32" s="44" t="s">
        <v>101</v>
      </c>
      <c r="G32" s="66">
        <f>714348</f>
        <v>714348</v>
      </c>
      <c r="H32" s="78"/>
    </row>
    <row r="33" spans="2:9" x14ac:dyDescent="0.55000000000000004">
      <c r="B33" s="44" t="s">
        <v>73</v>
      </c>
      <c r="G33" s="66"/>
      <c r="H33" s="78"/>
    </row>
    <row r="34" spans="2:9" x14ac:dyDescent="0.55000000000000004">
      <c r="B34" s="44" t="s">
        <v>102</v>
      </c>
      <c r="G34" s="66">
        <f>782013</f>
        <v>782013</v>
      </c>
      <c r="H34" s="106">
        <f>SUM(G31:G34)</f>
        <v>1599870</v>
      </c>
    </row>
    <row r="35" spans="2:9" x14ac:dyDescent="0.55000000000000004">
      <c r="B35" s="44" t="s">
        <v>71</v>
      </c>
    </row>
    <row r="36" spans="2:9" x14ac:dyDescent="0.55000000000000004">
      <c r="B36" s="44" t="s">
        <v>117</v>
      </c>
      <c r="G36" s="66">
        <f>255100+328400</f>
        <v>583500</v>
      </c>
    </row>
    <row r="37" spans="2:9" x14ac:dyDescent="0.55000000000000004">
      <c r="B37" s="44" t="s">
        <v>127</v>
      </c>
    </row>
    <row r="38" spans="2:9" ht="24.75" thickBot="1" x14ac:dyDescent="0.6">
      <c r="B38" s="44" t="s">
        <v>121</v>
      </c>
      <c r="G38" s="97">
        <f>SUM(G27:G37)</f>
        <v>11555476.33</v>
      </c>
    </row>
    <row r="39" spans="2:9" ht="24.75" thickTop="1" x14ac:dyDescent="0.55000000000000004"/>
    <row r="40" spans="2:9" x14ac:dyDescent="0.55000000000000004">
      <c r="C40" s="59"/>
      <c r="D40" s="59"/>
      <c r="I40" s="114"/>
    </row>
    <row r="41" spans="2:9" x14ac:dyDescent="0.55000000000000004">
      <c r="I41" s="114"/>
    </row>
  </sheetData>
  <mergeCells count="3">
    <mergeCell ref="B3:B5"/>
    <mergeCell ref="E3:H3"/>
    <mergeCell ref="J3:J5"/>
  </mergeCells>
  <pageMargins left="0.31496062992125984" right="0.31496062992125984" top="0.51181102362204722" bottom="0.19685039370078741" header="0.31496062992125984" footer="0.31496062992125984"/>
  <pageSetup paperSize="9" scale="88" fitToHeight="0" orientation="landscape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628D8-FFB9-4A25-B01D-D8A8D7FBCDFA}">
  <sheetPr>
    <tabColor rgb="FFFF0000"/>
  </sheetPr>
  <dimension ref="A1:T51"/>
  <sheetViews>
    <sheetView workbookViewId="0">
      <selection activeCell="E16" sqref="E16"/>
    </sheetView>
  </sheetViews>
  <sheetFormatPr defaultColWidth="9" defaultRowHeight="24" x14ac:dyDescent="0.55000000000000004"/>
  <cols>
    <col min="1" max="1" width="2" style="44" customWidth="1"/>
    <col min="2" max="2" width="25.75" style="44" customWidth="1"/>
    <col min="3" max="7" width="16.125" style="44" customWidth="1"/>
    <col min="8" max="9" width="11" style="44" customWidth="1"/>
    <col min="10" max="10" width="37" style="44" customWidth="1"/>
    <col min="11" max="11" width="1.625" style="44" customWidth="1"/>
    <col min="12" max="12" width="15.75" style="44" hidden="1" customWidth="1"/>
    <col min="13" max="13" width="14.375" style="44" hidden="1" customWidth="1"/>
    <col min="14" max="14" width="13.25" style="85" hidden="1" customWidth="1"/>
    <col min="15" max="15" width="14.375" style="44" hidden="1" customWidth="1"/>
    <col min="16" max="19" width="0" style="44" hidden="1" customWidth="1"/>
    <col min="20" max="20" width="13.375" style="44" bestFit="1" customWidth="1"/>
    <col min="21" max="16384" width="9" style="44"/>
  </cols>
  <sheetData>
    <row r="1" spans="1:17" x14ac:dyDescent="0.55000000000000004">
      <c r="A1" s="35" t="s">
        <v>0</v>
      </c>
    </row>
    <row r="2" spans="1:17" x14ac:dyDescent="0.55000000000000004">
      <c r="A2" s="35" t="s">
        <v>1</v>
      </c>
      <c r="J2" s="45"/>
    </row>
    <row r="3" spans="1:17" x14ac:dyDescent="0.55000000000000004">
      <c r="B3" s="163" t="s">
        <v>36</v>
      </c>
      <c r="C3" s="46" t="s">
        <v>3</v>
      </c>
      <c r="D3" s="107" t="s">
        <v>3</v>
      </c>
      <c r="E3" s="166" t="s">
        <v>107</v>
      </c>
      <c r="F3" s="167"/>
      <c r="G3" s="167"/>
      <c r="H3" s="168"/>
      <c r="I3" s="68" t="s">
        <v>9</v>
      </c>
      <c r="J3" s="169" t="s">
        <v>11</v>
      </c>
      <c r="K3" s="47"/>
      <c r="L3" s="44" t="s">
        <v>49</v>
      </c>
      <c r="M3" s="66">
        <f>2812000+225000+2102300+66900+7758463</f>
        <v>12964663</v>
      </c>
    </row>
    <row r="4" spans="1:17" x14ac:dyDescent="0.55000000000000004">
      <c r="B4" s="164"/>
      <c r="C4" s="48" t="s">
        <v>4</v>
      </c>
      <c r="D4" s="108" t="s">
        <v>99</v>
      </c>
      <c r="E4" s="46" t="s">
        <v>39</v>
      </c>
      <c r="F4" s="107" t="s">
        <v>39</v>
      </c>
      <c r="G4" s="46" t="s">
        <v>38</v>
      </c>
      <c r="H4" s="46" t="s">
        <v>9</v>
      </c>
      <c r="I4" s="48" t="s">
        <v>40</v>
      </c>
      <c r="J4" s="170"/>
      <c r="K4" s="47"/>
      <c r="L4" s="75"/>
      <c r="M4" s="76">
        <f>M3/12</f>
        <v>1080388.5833333333</v>
      </c>
      <c r="N4" s="86"/>
      <c r="O4" s="47"/>
      <c r="P4" s="47"/>
      <c r="Q4" s="47"/>
    </row>
    <row r="5" spans="1:17" x14ac:dyDescent="0.55000000000000004">
      <c r="B5" s="165"/>
      <c r="C5" s="49" t="s">
        <v>57</v>
      </c>
      <c r="D5" s="109" t="s">
        <v>57</v>
      </c>
      <c r="E5" s="49" t="s">
        <v>57</v>
      </c>
      <c r="F5" s="110" t="s">
        <v>100</v>
      </c>
      <c r="G5" s="49" t="s">
        <v>57</v>
      </c>
      <c r="H5" s="49" t="s">
        <v>40</v>
      </c>
      <c r="I5" s="79" t="s">
        <v>56</v>
      </c>
      <c r="J5" s="171"/>
      <c r="K5" s="47"/>
      <c r="L5" s="47"/>
      <c r="M5" s="47"/>
      <c r="N5" s="85" t="s">
        <v>64</v>
      </c>
      <c r="O5" s="47"/>
      <c r="P5" s="47"/>
      <c r="Q5" s="47"/>
    </row>
    <row r="6" spans="1:17" ht="27.95" customHeight="1" x14ac:dyDescent="0.55000000000000004">
      <c r="B6" s="73" t="s">
        <v>44</v>
      </c>
      <c r="C6" s="74">
        <f>77882029+8212669</f>
        <v>86094698</v>
      </c>
      <c r="D6" s="74">
        <f>C6-G39</f>
        <v>84670463.670000002</v>
      </c>
      <c r="E6" s="103">
        <f>C6</f>
        <v>86094698</v>
      </c>
      <c r="F6" s="103">
        <f>E6-G39</f>
        <v>84670463.670000002</v>
      </c>
      <c r="G6" s="74">
        <f>75121106.22+8191175.53+G32+G33</f>
        <v>83720281.75</v>
      </c>
      <c r="H6" s="72">
        <f t="shared" ref="H6:H12" si="0">G6*100/F6</f>
        <v>98.877788217030087</v>
      </c>
      <c r="I6" s="72">
        <f t="shared" ref="I6:I12" si="1">G6*100/D6</f>
        <v>98.877788217030087</v>
      </c>
      <c r="J6" s="104"/>
      <c r="K6" s="53"/>
      <c r="L6" s="51">
        <f>24715945.49-24912136.79</f>
        <v>-196191.30000000075</v>
      </c>
      <c r="M6" s="44" t="str">
        <f>B6</f>
        <v xml:space="preserve"> งบดำเนินงาน</v>
      </c>
      <c r="N6" s="87">
        <f>1536317.33-112083</f>
        <v>1424234.33</v>
      </c>
    </row>
    <row r="7" spans="1:17" ht="27.95" customHeight="1" x14ac:dyDescent="0.55000000000000004">
      <c r="B7" s="73" t="s">
        <v>45</v>
      </c>
      <c r="C7" s="74">
        <f>820090+9701000</f>
        <v>10521090</v>
      </c>
      <c r="D7" s="74">
        <f>C7</f>
        <v>10521090</v>
      </c>
      <c r="E7" s="70">
        <f t="shared" ref="E7:E9" si="2">C7</f>
        <v>10521090</v>
      </c>
      <c r="F7" s="103">
        <f t="shared" ref="F7" si="3">E7</f>
        <v>10521090</v>
      </c>
      <c r="G7" s="74">
        <f>820090+1243990+G28+G29</f>
        <v>6256590</v>
      </c>
      <c r="H7" s="72">
        <f t="shared" si="0"/>
        <v>59.467127455425249</v>
      </c>
      <c r="I7" s="72">
        <f t="shared" si="1"/>
        <v>59.467127455425249</v>
      </c>
      <c r="J7" s="102" t="s">
        <v>95</v>
      </c>
      <c r="K7" s="53"/>
      <c r="M7" s="44" t="str">
        <f t="shared" ref="M7:M8" si="4">B7</f>
        <v xml:space="preserve"> งบลงทุน</v>
      </c>
      <c r="N7" s="87">
        <v>4739560</v>
      </c>
    </row>
    <row r="8" spans="1:17" ht="27.95" customHeight="1" x14ac:dyDescent="0.55000000000000004">
      <c r="B8" s="73" t="s">
        <v>46</v>
      </c>
      <c r="C8" s="74">
        <f>48916603</f>
        <v>48916603</v>
      </c>
      <c r="D8" s="74">
        <f>C8-G41</f>
        <v>45776906</v>
      </c>
      <c r="E8" s="70">
        <f t="shared" si="2"/>
        <v>48916603</v>
      </c>
      <c r="F8" s="103">
        <f>E8-G41</f>
        <v>45776906</v>
      </c>
      <c r="G8" s="74">
        <v>44412308.5</v>
      </c>
      <c r="H8" s="72">
        <f t="shared" si="0"/>
        <v>97.019026362332127</v>
      </c>
      <c r="I8" s="72">
        <f t="shared" si="1"/>
        <v>97.019026362332127</v>
      </c>
      <c r="J8" s="102" t="s">
        <v>96</v>
      </c>
      <c r="K8" s="53"/>
      <c r="M8" s="44" t="str">
        <f t="shared" si="4"/>
        <v xml:space="preserve"> งบเงินอุดหนุน</v>
      </c>
      <c r="N8" s="87">
        <v>3139697</v>
      </c>
    </row>
    <row r="9" spans="1:17" ht="27.95" customHeight="1" thickBot="1" x14ac:dyDescent="0.6">
      <c r="B9" s="73" t="s">
        <v>47</v>
      </c>
      <c r="C9" s="74">
        <v>54312913</v>
      </c>
      <c r="D9" s="74">
        <f>C9</f>
        <v>54312913</v>
      </c>
      <c r="E9" s="70">
        <f t="shared" si="2"/>
        <v>54312913</v>
      </c>
      <c r="F9" s="103">
        <f>E9</f>
        <v>54312913</v>
      </c>
      <c r="G9" s="74">
        <f>51888637.87</f>
        <v>51888637.869999997</v>
      </c>
      <c r="H9" s="72">
        <f t="shared" si="0"/>
        <v>95.536466383233758</v>
      </c>
      <c r="I9" s="111">
        <f t="shared" si="1"/>
        <v>95.536466383233758</v>
      </c>
      <c r="J9" s="102" t="s">
        <v>97</v>
      </c>
      <c r="K9" s="53"/>
      <c r="L9" s="80" t="s">
        <v>58</v>
      </c>
      <c r="N9" s="89">
        <f>SUM(N6:N8)</f>
        <v>9303491.3300000001</v>
      </c>
    </row>
    <row r="10" spans="1:17" s="90" customFormat="1" ht="30.75" customHeight="1" thickTop="1" thickBot="1" x14ac:dyDescent="0.6">
      <c r="B10" s="91" t="s">
        <v>12</v>
      </c>
      <c r="C10" s="92">
        <f>SUM(C6:C9)</f>
        <v>199845304</v>
      </c>
      <c r="D10" s="92">
        <f>SUM(D6:D9)</f>
        <v>195281372.67000002</v>
      </c>
      <c r="E10" s="92">
        <f>SUM(E6:E9)</f>
        <v>199845304</v>
      </c>
      <c r="F10" s="92">
        <f>SUM(F6:F9)</f>
        <v>195281372.67000002</v>
      </c>
      <c r="G10" s="92">
        <f>SUM(G6:G9)</f>
        <v>186277818.12</v>
      </c>
      <c r="H10" s="93">
        <f t="shared" si="0"/>
        <v>95.389445277397328</v>
      </c>
      <c r="I10" s="93">
        <f t="shared" si="1"/>
        <v>95.389445277397328</v>
      </c>
      <c r="J10" s="102"/>
      <c r="K10" s="94"/>
      <c r="L10" s="80">
        <f>83366860+12964663+791830+9701000+59792400+63689289</f>
        <v>230306042</v>
      </c>
      <c r="M10" s="95">
        <f>C10-L10</f>
        <v>-30460738</v>
      </c>
      <c r="N10" s="95">
        <f>N9+112083+10900+10900</f>
        <v>9437374.3300000001</v>
      </c>
      <c r="O10" s="96"/>
      <c r="P10" s="96"/>
      <c r="Q10" s="96"/>
    </row>
    <row r="11" spans="1:17" ht="27.75" customHeight="1" thickTop="1" x14ac:dyDescent="0.55000000000000004">
      <c r="B11" s="73" t="s">
        <v>25</v>
      </c>
      <c r="C11" s="74">
        <f>3172380+836000+2051280+2013060</f>
        <v>8072720</v>
      </c>
      <c r="D11" s="82">
        <f>C11-G42-G43-G44-G46</f>
        <v>6338967</v>
      </c>
      <c r="E11" s="74">
        <f>C11</f>
        <v>8072720</v>
      </c>
      <c r="F11" s="82">
        <f>E11-G42-G43-G44-G46</f>
        <v>6338967</v>
      </c>
      <c r="G11" s="74">
        <f>2390367+598608+2051280+1298712</f>
        <v>6338967</v>
      </c>
      <c r="H11" s="72">
        <f t="shared" si="0"/>
        <v>100</v>
      </c>
      <c r="I11" s="72">
        <f t="shared" si="1"/>
        <v>100</v>
      </c>
      <c r="J11" s="102"/>
      <c r="K11" s="53"/>
      <c r="L11" s="66">
        <f>52674365.99+4197074.68+791290+1243990+27398923+32660960.87</f>
        <v>118966604.54000001</v>
      </c>
      <c r="M11" s="59">
        <f>G10-L11</f>
        <v>67311213.579999998</v>
      </c>
    </row>
    <row r="12" spans="1:17" s="35" customFormat="1" ht="30.75" customHeight="1" thickBot="1" x14ac:dyDescent="0.6">
      <c r="B12" s="36" t="s">
        <v>13</v>
      </c>
      <c r="C12" s="37">
        <f>+C10+C11</f>
        <v>207918024</v>
      </c>
      <c r="D12" s="37">
        <f>+D10+D11</f>
        <v>201620339.67000002</v>
      </c>
      <c r="E12" s="37">
        <f>+E10+E11</f>
        <v>207918024</v>
      </c>
      <c r="F12" s="37">
        <f>+F10+F11</f>
        <v>201620339.67000002</v>
      </c>
      <c r="G12" s="37">
        <f>+G10+G11</f>
        <v>192616785.12</v>
      </c>
      <c r="H12" s="38">
        <f t="shared" si="0"/>
        <v>95.534401655737469</v>
      </c>
      <c r="I12" s="93">
        <f t="shared" si="1"/>
        <v>95.534401655737469</v>
      </c>
      <c r="J12" s="105"/>
      <c r="K12" s="53"/>
      <c r="L12" s="41">
        <f>C12/2</f>
        <v>103959012</v>
      </c>
      <c r="N12" s="88"/>
    </row>
    <row r="13" spans="1:17" s="35" customFormat="1" ht="11.25" customHeight="1" thickTop="1" x14ac:dyDescent="0.55000000000000004">
      <c r="B13" s="63"/>
      <c r="C13" s="64"/>
      <c r="D13" s="64"/>
      <c r="E13" s="64"/>
      <c r="F13" s="64"/>
      <c r="G13" s="64"/>
      <c r="H13" s="65"/>
      <c r="I13" s="65"/>
      <c r="J13" s="53"/>
      <c r="K13" s="53"/>
      <c r="N13" s="88"/>
    </row>
    <row r="14" spans="1:17" x14ac:dyDescent="0.55000000000000004">
      <c r="A14" s="78" t="s">
        <v>53</v>
      </c>
      <c r="B14" s="78"/>
      <c r="L14" s="66">
        <f>3172380+836000+2051280+2013060</f>
        <v>8072720</v>
      </c>
      <c r="M14" s="66">
        <f>2390367+598608+2051280+1298712</f>
        <v>6338967</v>
      </c>
    </row>
    <row r="15" spans="1:17" x14ac:dyDescent="0.55000000000000004">
      <c r="A15" s="78"/>
      <c r="B15" s="78" t="s">
        <v>42</v>
      </c>
      <c r="L15" s="66"/>
    </row>
    <row r="16" spans="1:17" x14ac:dyDescent="0.55000000000000004">
      <c r="A16" s="78"/>
      <c r="B16" s="78" t="s">
        <v>43</v>
      </c>
      <c r="L16" s="66"/>
    </row>
    <row r="17" spans="1:20" ht="23.1" customHeight="1" x14ac:dyDescent="0.55000000000000004">
      <c r="A17" s="78" t="s">
        <v>16</v>
      </c>
      <c r="B17" s="78" t="s">
        <v>108</v>
      </c>
      <c r="L17" s="66">
        <f>406597759-142172600-40680100</f>
        <v>223745059</v>
      </c>
      <c r="N17" s="83" t="s">
        <v>65</v>
      </c>
    </row>
    <row r="18" spans="1:20" x14ac:dyDescent="0.55000000000000004">
      <c r="A18" s="78"/>
      <c r="B18" s="78" t="s">
        <v>92</v>
      </c>
      <c r="L18" s="66"/>
      <c r="N18" s="33"/>
      <c r="T18" s="66">
        <f>714348+782013+1424234.33+4739560+3139697+133883</f>
        <v>10933735.33</v>
      </c>
    </row>
    <row r="19" spans="1:20" ht="24" customHeight="1" x14ac:dyDescent="0.55000000000000004">
      <c r="B19" s="78" t="s">
        <v>94</v>
      </c>
      <c r="L19" s="66">
        <f>337318847.45-126227695.47-37834382.68</f>
        <v>173256769.29999998</v>
      </c>
      <c r="N19" s="84" t="s">
        <v>63</v>
      </c>
    </row>
    <row r="20" spans="1:20" x14ac:dyDescent="0.55000000000000004">
      <c r="H20" s="44" t="s">
        <v>17</v>
      </c>
    </row>
    <row r="21" spans="1:20" x14ac:dyDescent="0.55000000000000004">
      <c r="H21" s="77" t="s">
        <v>50</v>
      </c>
      <c r="I21" s="77"/>
    </row>
    <row r="22" spans="1:20" x14ac:dyDescent="0.55000000000000004">
      <c r="H22" s="77" t="s">
        <v>51</v>
      </c>
      <c r="I22" s="77"/>
      <c r="L22" s="44">
        <f>L19*100/L17</f>
        <v>77.43490295354411</v>
      </c>
    </row>
    <row r="23" spans="1:20" x14ac:dyDescent="0.55000000000000004">
      <c r="H23" s="77" t="s">
        <v>52</v>
      </c>
      <c r="I23" s="77"/>
    </row>
    <row r="24" spans="1:20" x14ac:dyDescent="0.55000000000000004">
      <c r="H24" s="77"/>
      <c r="I24" s="77"/>
    </row>
    <row r="25" spans="1:20" x14ac:dyDescent="0.55000000000000004">
      <c r="H25" s="77"/>
      <c r="I25" s="77"/>
    </row>
    <row r="26" spans="1:20" x14ac:dyDescent="0.55000000000000004">
      <c r="I26" s="77"/>
    </row>
    <row r="27" spans="1:20" x14ac:dyDescent="0.55000000000000004">
      <c r="B27" s="98" t="s">
        <v>74</v>
      </c>
      <c r="I27" s="77"/>
    </row>
    <row r="28" spans="1:20" x14ac:dyDescent="0.55000000000000004">
      <c r="B28" s="44" t="s">
        <v>75</v>
      </c>
      <c r="G28" s="66">
        <f>3700000-5000</f>
        <v>3695000</v>
      </c>
      <c r="H28" s="101" t="s">
        <v>81</v>
      </c>
      <c r="I28" s="44" t="s">
        <v>88</v>
      </c>
    </row>
    <row r="29" spans="1:20" x14ac:dyDescent="0.55000000000000004">
      <c r="B29" s="44" t="s">
        <v>87</v>
      </c>
      <c r="G29" s="66">
        <f>1494800-(498290+499000)</f>
        <v>497510</v>
      </c>
      <c r="H29" s="101" t="s">
        <v>82</v>
      </c>
      <c r="I29" s="44" t="s">
        <v>89</v>
      </c>
    </row>
    <row r="30" spans="1:20" x14ac:dyDescent="0.55000000000000004">
      <c r="B30" s="44" t="s">
        <v>76</v>
      </c>
      <c r="G30" s="66">
        <v>0</v>
      </c>
      <c r="H30" s="101" t="s">
        <v>83</v>
      </c>
      <c r="I30" s="44" t="s">
        <v>90</v>
      </c>
    </row>
    <row r="31" spans="1:20" x14ac:dyDescent="0.55000000000000004">
      <c r="B31" s="44" t="s">
        <v>79</v>
      </c>
      <c r="G31" s="66">
        <v>0</v>
      </c>
      <c r="H31" s="101" t="s">
        <v>84</v>
      </c>
      <c r="I31" s="44" t="s">
        <v>90</v>
      </c>
    </row>
    <row r="32" spans="1:20" x14ac:dyDescent="0.55000000000000004">
      <c r="B32" s="44" t="s">
        <v>77</v>
      </c>
      <c r="G32" s="66">
        <f>300000</f>
        <v>300000</v>
      </c>
      <c r="H32" s="101" t="s">
        <v>85</v>
      </c>
      <c r="I32" s="44" t="s">
        <v>90</v>
      </c>
    </row>
    <row r="33" spans="2:9" x14ac:dyDescent="0.55000000000000004">
      <c r="B33" s="44" t="s">
        <v>78</v>
      </c>
      <c r="G33" s="66">
        <f>43200+64800</f>
        <v>108000</v>
      </c>
      <c r="H33" s="101" t="s">
        <v>85</v>
      </c>
      <c r="I33" s="44" t="s">
        <v>90</v>
      </c>
    </row>
    <row r="34" spans="2:9" x14ac:dyDescent="0.55000000000000004">
      <c r="B34" s="44" t="s">
        <v>80</v>
      </c>
      <c r="G34" s="66">
        <v>0</v>
      </c>
      <c r="H34" s="101" t="s">
        <v>86</v>
      </c>
      <c r="I34" s="44" t="s">
        <v>91</v>
      </c>
    </row>
    <row r="35" spans="2:9" ht="24.75" thickBot="1" x14ac:dyDescent="0.6">
      <c r="G35" s="100">
        <f>SUM(G28:G34)</f>
        <v>4600510</v>
      </c>
    </row>
    <row r="36" spans="2:9" ht="24.75" thickTop="1" x14ac:dyDescent="0.55000000000000004">
      <c r="G36" s="59"/>
    </row>
    <row r="37" spans="2:9" x14ac:dyDescent="0.55000000000000004">
      <c r="G37" s="59"/>
    </row>
    <row r="38" spans="2:9" x14ac:dyDescent="0.55000000000000004">
      <c r="B38" s="98" t="s">
        <v>69</v>
      </c>
    </row>
    <row r="39" spans="2:9" x14ac:dyDescent="0.55000000000000004">
      <c r="B39" s="44" t="s">
        <v>66</v>
      </c>
      <c r="G39" s="66">
        <f>N6</f>
        <v>1424234.33</v>
      </c>
      <c r="I39" s="44" t="s">
        <v>104</v>
      </c>
    </row>
    <row r="40" spans="2:9" x14ac:dyDescent="0.55000000000000004">
      <c r="B40" s="44" t="s">
        <v>67</v>
      </c>
      <c r="G40" s="66">
        <f>4739560</f>
        <v>4739560</v>
      </c>
      <c r="I40" s="44" t="s">
        <v>103</v>
      </c>
    </row>
    <row r="41" spans="2:9" x14ac:dyDescent="0.55000000000000004">
      <c r="B41" s="44" t="s">
        <v>68</v>
      </c>
      <c r="G41" s="66">
        <f>N8</f>
        <v>3139697</v>
      </c>
      <c r="I41" s="44" t="s">
        <v>104</v>
      </c>
    </row>
    <row r="42" spans="2:9" x14ac:dyDescent="0.55000000000000004">
      <c r="B42" s="44" t="s">
        <v>93</v>
      </c>
      <c r="G42" s="112">
        <f>10900+10900+112083</f>
        <v>133883</v>
      </c>
      <c r="H42" s="106">
        <f>SUM(G39:G42)</f>
        <v>9437374.3300000001</v>
      </c>
      <c r="I42" s="44" t="s">
        <v>104</v>
      </c>
    </row>
    <row r="43" spans="2:9" x14ac:dyDescent="0.55000000000000004">
      <c r="B43" s="44" t="s">
        <v>105</v>
      </c>
      <c r="G43" s="112">
        <f>57405+179987-G42</f>
        <v>103509</v>
      </c>
      <c r="H43" s="113"/>
      <c r="I43" s="44" t="s">
        <v>10</v>
      </c>
    </row>
    <row r="44" spans="2:9" x14ac:dyDescent="0.55000000000000004">
      <c r="B44" s="44" t="s">
        <v>101</v>
      </c>
      <c r="G44" s="66">
        <f>714348</f>
        <v>714348</v>
      </c>
      <c r="H44" s="78"/>
    </row>
    <row r="45" spans="2:9" x14ac:dyDescent="0.55000000000000004">
      <c r="B45" s="44" t="s">
        <v>73</v>
      </c>
      <c r="G45" s="66"/>
      <c r="H45" s="78"/>
    </row>
    <row r="46" spans="2:9" x14ac:dyDescent="0.55000000000000004">
      <c r="B46" s="44" t="s">
        <v>102</v>
      </c>
      <c r="G46" s="66">
        <f>782013</f>
        <v>782013</v>
      </c>
      <c r="H46" s="106">
        <f>SUM(G43:G46)</f>
        <v>1599870</v>
      </c>
    </row>
    <row r="47" spans="2:9" x14ac:dyDescent="0.55000000000000004">
      <c r="B47" s="44" t="s">
        <v>71</v>
      </c>
    </row>
    <row r="48" spans="2:9" ht="24.75" thickBot="1" x14ac:dyDescent="0.6">
      <c r="G48" s="97">
        <f>SUM(G39:G46)</f>
        <v>11037244.33</v>
      </c>
    </row>
    <row r="49" spans="3:9" ht="24.75" thickTop="1" x14ac:dyDescent="0.55000000000000004">
      <c r="I49" s="44" t="s">
        <v>106</v>
      </c>
    </row>
    <row r="50" spans="3:9" x14ac:dyDescent="0.55000000000000004">
      <c r="C50" s="59"/>
      <c r="D50" s="59"/>
      <c r="I50" s="114">
        <f>G42+G43+G44+G46</f>
        <v>1733753</v>
      </c>
    </row>
    <row r="51" spans="3:9" x14ac:dyDescent="0.55000000000000004">
      <c r="I51" s="114">
        <f>1733753-I50</f>
        <v>0</v>
      </c>
    </row>
  </sheetData>
  <mergeCells count="3">
    <mergeCell ref="B3:B5"/>
    <mergeCell ref="E3:H3"/>
    <mergeCell ref="J3:J5"/>
  </mergeCells>
  <pageMargins left="0.47244094488188981" right="0.31496062992125984" top="0.47244094488188981" bottom="0.19685039370078741" header="0.31496062992125984" footer="0.31496062992125984"/>
  <pageSetup paperSize="9" scale="94"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19</vt:i4>
      </vt:variant>
      <vt:variant>
        <vt:lpstr>ช่วงที่มีชื่อ</vt:lpstr>
      </vt:variant>
      <vt:variant>
        <vt:i4>17</vt:i4>
      </vt:variant>
    </vt:vector>
  </HeadingPairs>
  <TitlesOfParts>
    <vt:vector size="36" baseType="lpstr">
      <vt:lpstr>รายงานผล</vt:lpstr>
      <vt:lpstr>ง.401(มี.ค.67)</vt:lpstr>
      <vt:lpstr>ง.401 (มี.ค.67งบกลาง)</vt:lpstr>
      <vt:lpstr>ตัวชี้วัด (30 ก.ย.65)หัก อุทธรณ</vt:lpstr>
      <vt:lpstr>ตัวชี้วัด (30 ก.ย.65)หักเหลือจ่</vt:lpstr>
      <vt:lpstr>ตัวชี้วัด (30 ก.ย.65)ง.401</vt:lpstr>
      <vt:lpstr>ตัวชี้วัด (30 ก.ย.65) (2)</vt:lpstr>
      <vt:lpstr>ตัวชี้วัด (30 ก.ย.65)</vt:lpstr>
      <vt:lpstr>ตัวชี้วัด (26ก.ย.65)</vt:lpstr>
      <vt:lpstr>ตัวชี้วัด (20ก.ย.65)</vt:lpstr>
      <vt:lpstr>รายการที่จะเบิก</vt:lpstr>
      <vt:lpstr>ตัวชี้วัด (18-7-65) (2)</vt:lpstr>
      <vt:lpstr>ตัวชี้วัด</vt:lpstr>
      <vt:lpstr>ตัวชี้วัด (2)</vt:lpstr>
      <vt:lpstr>ตัวชี้วัด (3)</vt:lpstr>
      <vt:lpstr>ตัวชี้วัด (ล่าสุด)</vt:lpstr>
      <vt:lpstr>ตัวชี้วัด (4-4-65)</vt:lpstr>
      <vt:lpstr>ตัวชี้วัด (4-4-65) (2)</vt:lpstr>
      <vt:lpstr>ตัวชี้วัด (18-7-65)</vt:lpstr>
      <vt:lpstr>'ง.401 (มี.ค.67งบกลาง)'!Print_Area</vt:lpstr>
      <vt:lpstr>'ง.401(มี.ค.67)'!Print_Area</vt:lpstr>
      <vt:lpstr>ตัวชี้วัด!Print_Area</vt:lpstr>
      <vt:lpstr>'ตัวชี้วัด (18-7-65)'!Print_Area</vt:lpstr>
      <vt:lpstr>'ตัวชี้วัด (18-7-65) (2)'!Print_Area</vt:lpstr>
      <vt:lpstr>'ตัวชี้วัด (2)'!Print_Area</vt:lpstr>
      <vt:lpstr>'ตัวชี้วัด (20ก.ย.65)'!Print_Area</vt:lpstr>
      <vt:lpstr>'ตัวชี้วัด (26ก.ย.65)'!Print_Area</vt:lpstr>
      <vt:lpstr>'ตัวชี้วัด (3)'!Print_Area</vt:lpstr>
      <vt:lpstr>'ตัวชี้วัด (30 ก.ย.65)'!Print_Area</vt:lpstr>
      <vt:lpstr>'ตัวชี้วัด (30 ก.ย.65) (2)'!Print_Area</vt:lpstr>
      <vt:lpstr>'ตัวชี้วัด (30 ก.ย.65)ง.401'!Print_Area</vt:lpstr>
      <vt:lpstr>'ตัวชี้วัด (30 ก.ย.65)หัก อุทธรณ'!Print_Area</vt:lpstr>
      <vt:lpstr>'ตัวชี้วัด (30 ก.ย.65)หักเหลือจ่'!Print_Area</vt:lpstr>
      <vt:lpstr>'ตัวชี้วัด (4-4-65)'!Print_Area</vt:lpstr>
      <vt:lpstr>'ตัวชี้วัด (4-4-65) (2)'!Print_Area</vt:lpstr>
      <vt:lpstr>'ตัวชี้วัด (ล่าสุด)'!Print_Area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BKFinan04</dc:creator>
  <cp:lastModifiedBy>bma04520</cp:lastModifiedBy>
  <cp:lastPrinted>2024-04-17T10:42:31Z</cp:lastPrinted>
  <dcterms:created xsi:type="dcterms:W3CDTF">2021-04-22T11:10:48Z</dcterms:created>
  <dcterms:modified xsi:type="dcterms:W3CDTF">2024-04-17T11:07:36Z</dcterms:modified>
</cp:coreProperties>
</file>