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124226"/>
  <xr:revisionPtr revIDLastSave="0" documentId="13_ncr:1_{D541E32A-6800-4B10-9D3F-D1B533046B53}" xr6:coauthVersionLast="47" xr6:coauthVersionMax="47" xr10:uidLastSave="{00000000-0000-0000-0000-000000000000}"/>
  <bookViews>
    <workbookView xWindow="-120" yWindow="-120" windowWidth="24240" windowHeight="13020" firstSheet="2" activeTab="2" xr2:uid="{00000000-000D-0000-FFFF-FFFF00000000}"/>
  </bookViews>
  <sheets>
    <sheet name="สงม.1 (แยกเดือน)" sheetId="32" state="hidden" r:id="rId1"/>
    <sheet name="สงม.1" sheetId="30" state="hidden" r:id="rId2"/>
    <sheet name="สงม.1 (รวม)" sheetId="34" r:id="rId3"/>
    <sheet name="สงม.1 (แยกฝ่าย)" sheetId="31" state="hidden" r:id="rId4"/>
    <sheet name="สงม. 2 (งบบุคลากร)" sheetId="33" r:id="rId5"/>
    <sheet name="สงม. 2 ปกครอง" sheetId="12" r:id="rId6"/>
    <sheet name="สงม. 2 ทะเบียน" sheetId="14" r:id="rId7"/>
    <sheet name="สงม. 2 คลัง" sheetId="13" r:id="rId8"/>
    <sheet name="สงม. 2 รายได้" sheetId="15" r:id="rId9"/>
    <sheet name="สงม. 2 รักษาฯ" sheetId="16" r:id="rId10"/>
    <sheet name="สงม. 2 เทศกิจ" sheetId="17" r:id="rId11"/>
    <sheet name="สงม. 2 โยธา" sheetId="24" r:id="rId12"/>
    <sheet name="สงม. 2 พัฒนาชุมชน" sheetId="29" r:id="rId13"/>
    <sheet name="สงม. 2 สวล." sheetId="25" r:id="rId14"/>
    <sheet name="สงม. 2 ศึกษา" sheetId="28" r:id="rId15"/>
    <sheet name="โครงยุทธศาสตร์" sheetId="35" state="hidden" r:id="rId16"/>
    <sheet name="แนบท้ายแบบ 1" sheetId="6" r:id="rId17"/>
    <sheet name="สงม.1คลัง" sheetId="9" state="hidden" r:id="rId18"/>
    <sheet name="สงม. 2งบประมาณ" sheetId="8" state="hidden" r:id="rId19"/>
    <sheet name="form. สงม. 2 (โยธา)" sheetId="18" state="hidden" r:id="rId20"/>
    <sheet name="form.สงม. 2 (สวล.)" sheetId="21" state="hidden" r:id="rId21"/>
    <sheet name="ศึกษา" sheetId="22" state="hidden" r:id="rId22"/>
  </sheets>
  <externalReferences>
    <externalReference r:id="rId23"/>
  </externalReferences>
  <definedNames>
    <definedName name="_xlnm.Print_Area" localSheetId="18">'สงม. 2งบประมาณ'!$A$1:$F$38</definedName>
    <definedName name="_xlnm.Print_Titles" localSheetId="19">'form. สงม. 2 (โยธา)'!$1:$6</definedName>
    <definedName name="_xlnm.Print_Titles" localSheetId="20">'form.สงม. 2 (สวล.)'!$1:$6</definedName>
    <definedName name="_xlnm.Print_Titles" localSheetId="15">โครงยุทธศาสตร์!$1:$6</definedName>
    <definedName name="_xlnm.Print_Titles" localSheetId="4">'สงม. 2 (งบบุคลากร)'!$1:$6</definedName>
    <definedName name="_xlnm.Print_Titles" localSheetId="7">'สงม. 2 คลัง'!$1:$6</definedName>
    <definedName name="_xlnm.Print_Titles" localSheetId="6">'สงม. 2 ทะเบียน'!$1:$6</definedName>
    <definedName name="_xlnm.Print_Titles" localSheetId="10">'สงม. 2 เทศกิจ'!$1:$6</definedName>
    <definedName name="_xlnm.Print_Titles" localSheetId="5">'สงม. 2 ปกครอง'!$1:$6</definedName>
    <definedName name="_xlnm.Print_Titles" localSheetId="12">'สงม. 2 พัฒนาชุมชน'!$1:$6</definedName>
    <definedName name="_xlnm.Print_Titles" localSheetId="11">'สงม. 2 โยธา'!$1:$6</definedName>
    <definedName name="_xlnm.Print_Titles" localSheetId="9">'สงม. 2 รักษาฯ'!$1:$6</definedName>
    <definedName name="_xlnm.Print_Titles" localSheetId="8">'สงม. 2 รายได้'!$1:$6</definedName>
    <definedName name="_xlnm.Print_Titles" localSheetId="14">'สงม. 2 ศึกษา'!$1:$6</definedName>
    <definedName name="_xlnm.Print_Titles" localSheetId="13">'สงม. 2 สวล.'!$1:$6</definedName>
    <definedName name="_xlnm.Print_Titles" localSheetId="18">'สงม. 2งบประมาณ'!$1:$6</definedName>
    <definedName name="_xlnm.Print_Titles" localSheetId="2">'สงม.1 (รวม)'!$1:$6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0" i="34" l="1"/>
  <c r="C89" i="34"/>
  <c r="C88" i="34"/>
  <c r="E88" i="34"/>
  <c r="E89" i="34"/>
  <c r="E90" i="34"/>
  <c r="D89" i="34"/>
  <c r="D90" i="34"/>
  <c r="D88" i="34"/>
  <c r="I84" i="34"/>
  <c r="I85" i="34"/>
  <c r="I83" i="34"/>
  <c r="I84" i="28"/>
  <c r="D66" i="25"/>
  <c r="F75" i="25"/>
  <c r="E75" i="25"/>
  <c r="D75" i="25"/>
  <c r="C75" i="25" s="1"/>
  <c r="D91" i="28"/>
  <c r="D87" i="28"/>
  <c r="D65" i="28"/>
  <c r="D34" i="28"/>
  <c r="D11" i="28"/>
  <c r="D11" i="24"/>
  <c r="D39" i="17"/>
  <c r="C39" i="17"/>
  <c r="C11" i="17"/>
  <c r="D68" i="16"/>
  <c r="D11" i="17"/>
  <c r="E39" i="16"/>
  <c r="D39" i="16"/>
  <c r="F11" i="16"/>
  <c r="E11" i="16"/>
  <c r="D11" i="16"/>
  <c r="D11" i="15"/>
  <c r="D11" i="13"/>
  <c r="F70" i="29"/>
  <c r="E70" i="29"/>
  <c r="D70" i="29"/>
  <c r="F62" i="29"/>
  <c r="E62" i="29"/>
  <c r="D62" i="29"/>
  <c r="F11" i="29"/>
  <c r="E11" i="29"/>
  <c r="D11" i="29"/>
  <c r="F92" i="24"/>
  <c r="E92" i="24"/>
  <c r="D92" i="24"/>
  <c r="E66" i="24"/>
  <c r="D66" i="24"/>
  <c r="D43" i="24"/>
  <c r="D41" i="24"/>
  <c r="F11" i="24"/>
  <c r="E11" i="24"/>
  <c r="F39" i="17"/>
  <c r="E39" i="17"/>
  <c r="F11" i="17"/>
  <c r="E11" i="17"/>
  <c r="F102" i="16"/>
  <c r="E102" i="16"/>
  <c r="D102" i="16"/>
  <c r="F68" i="16"/>
  <c r="E68" i="16"/>
  <c r="F39" i="16"/>
  <c r="E11" i="15"/>
  <c r="F11" i="13"/>
  <c r="E11" i="13"/>
  <c r="F11" i="14"/>
  <c r="E11" i="14"/>
  <c r="D11" i="14"/>
  <c r="F57" i="12"/>
  <c r="E57" i="12"/>
  <c r="D57" i="12"/>
  <c r="E42" i="12"/>
  <c r="D42" i="12"/>
  <c r="F11" i="12"/>
  <c r="E11" i="12"/>
  <c r="D11" i="12"/>
  <c r="E35" i="34"/>
  <c r="D35" i="34"/>
  <c r="E85" i="16"/>
  <c r="F85" i="16"/>
  <c r="D85" i="16"/>
  <c r="D68" i="34"/>
  <c r="E68" i="34"/>
  <c r="C68" i="34"/>
  <c r="E46" i="25"/>
  <c r="F46" i="25"/>
  <c r="D46" i="25"/>
  <c r="E91" i="28"/>
  <c r="F91" i="28"/>
  <c r="E65" i="28"/>
  <c r="E11" i="28"/>
  <c r="E66" i="25"/>
  <c r="E64" i="25" s="1"/>
  <c r="E62" i="25" s="1"/>
  <c r="F66" i="25"/>
  <c r="C66" i="25" s="1"/>
  <c r="F47" i="12"/>
  <c r="F52" i="12"/>
  <c r="F42" i="12" l="1"/>
  <c r="C91" i="28"/>
  <c r="F64" i="25"/>
  <c r="F62" i="25" s="1"/>
  <c r="D64" i="25"/>
  <c r="C64" i="25" s="1"/>
  <c r="C85" i="16"/>
  <c r="C20" i="24"/>
  <c r="D91" i="25" l="1"/>
  <c r="F45" i="25"/>
  <c r="F15" i="28"/>
  <c r="F11" i="28" s="1"/>
  <c r="F40" i="29" l="1"/>
  <c r="F15" i="29"/>
  <c r="D169" i="28" l="1"/>
  <c r="F90" i="28" l="1"/>
  <c r="F71" i="28"/>
  <c r="F65" i="28" s="1"/>
  <c r="H120" i="28"/>
  <c r="C38" i="13"/>
  <c r="I58" i="12" l="1"/>
  <c r="J17" i="33"/>
  <c r="J15" i="33"/>
  <c r="J11" i="33"/>
  <c r="I114" i="28"/>
  <c r="C113" i="28"/>
  <c r="I113" i="28" s="1"/>
  <c r="C83" i="28"/>
  <c r="I83" i="28" s="1"/>
  <c r="I79" i="25"/>
  <c r="C77" i="25"/>
  <c r="I77" i="25" s="1"/>
  <c r="I76" i="25"/>
  <c r="C91" i="29"/>
  <c r="I91" i="29" s="1"/>
  <c r="I90" i="29"/>
  <c r="C78" i="29"/>
  <c r="I78" i="29" s="1"/>
  <c r="C76" i="29"/>
  <c r="I76" i="29" s="1"/>
  <c r="C68" i="29"/>
  <c r="I68" i="29" s="1"/>
  <c r="C82" i="16"/>
  <c r="I82" i="16" s="1"/>
  <c r="C81" i="16"/>
  <c r="I81" i="16" s="1"/>
  <c r="C80" i="16"/>
  <c r="I80" i="16" s="1"/>
  <c r="I26" i="14"/>
  <c r="H42" i="12"/>
  <c r="E9" i="12"/>
  <c r="F9" i="12"/>
  <c r="D9" i="12"/>
  <c r="C47" i="12"/>
  <c r="I47" i="12" s="1"/>
  <c r="C46" i="12"/>
  <c r="I46" i="12" s="1"/>
  <c r="I43" i="12"/>
  <c r="D9" i="16"/>
  <c r="I30" i="35"/>
  <c r="C29" i="35"/>
  <c r="C8" i="35"/>
  <c r="F9" i="35"/>
  <c r="F7" i="35" s="1"/>
  <c r="E91" i="34" s="1"/>
  <c r="F31" i="35"/>
  <c r="F33" i="35" s="1"/>
  <c r="I27" i="35"/>
  <c r="E9" i="35"/>
  <c r="E7" i="35" s="1"/>
  <c r="D91" i="34" s="1"/>
  <c r="I25" i="35"/>
  <c r="I22" i="35"/>
  <c r="C21" i="35"/>
  <c r="I21" i="35" s="1"/>
  <c r="I18" i="35"/>
  <c r="C17" i="35"/>
  <c r="I17" i="35" s="1"/>
  <c r="I15" i="35"/>
  <c r="I10" i="35"/>
  <c r="I69" i="35"/>
  <c r="I68" i="35"/>
  <c r="I67" i="35"/>
  <c r="I66" i="35"/>
  <c r="I65" i="35"/>
  <c r="I64" i="35"/>
  <c r="I63" i="35"/>
  <c r="I62" i="35"/>
  <c r="I61" i="35"/>
  <c r="I60" i="35"/>
  <c r="I59" i="35"/>
  <c r="I58" i="35"/>
  <c r="I57" i="35"/>
  <c r="I56" i="35"/>
  <c r="I55" i="35"/>
  <c r="I54" i="35"/>
  <c r="I53" i="35"/>
  <c r="I52" i="35"/>
  <c r="I51" i="35"/>
  <c r="I50" i="35"/>
  <c r="I49" i="35"/>
  <c r="I48" i="35"/>
  <c r="I47" i="35"/>
  <c r="I46" i="35"/>
  <c r="I45" i="35"/>
  <c r="I44" i="35"/>
  <c r="I43" i="35"/>
  <c r="I42" i="35"/>
  <c r="I41" i="35"/>
  <c r="I40" i="35"/>
  <c r="I37" i="35"/>
  <c r="I35" i="35"/>
  <c r="I34" i="35"/>
  <c r="I32" i="35"/>
  <c r="I28" i="35"/>
  <c r="D37" i="13"/>
  <c r="I14" i="13"/>
  <c r="I13" i="13"/>
  <c r="I12" i="13"/>
  <c r="D177" i="28"/>
  <c r="D37" i="15"/>
  <c r="I36" i="14"/>
  <c r="I69" i="29"/>
  <c r="I71" i="29"/>
  <c r="I73" i="29"/>
  <c r="I75" i="29"/>
  <c r="I81" i="29"/>
  <c r="I83" i="29"/>
  <c r="I85" i="29"/>
  <c r="I86" i="29"/>
  <c r="I88" i="29"/>
  <c r="I93" i="29"/>
  <c r="H42" i="29"/>
  <c r="H27" i="34"/>
  <c r="I75" i="25" l="1"/>
  <c r="B68" i="34"/>
  <c r="G68" i="34" s="1"/>
  <c r="D7" i="16"/>
  <c r="C28" i="34"/>
  <c r="C27" i="34" s="1"/>
  <c r="C11" i="35"/>
  <c r="I11" i="35" s="1"/>
  <c r="D9" i="35"/>
  <c r="D31" i="35"/>
  <c r="E31" i="35"/>
  <c r="E33" i="35" s="1"/>
  <c r="C26" i="35"/>
  <c r="I26" i="35" s="1"/>
  <c r="C14" i="35"/>
  <c r="I14" i="35" s="1"/>
  <c r="I38" i="35"/>
  <c r="G27" i="34"/>
  <c r="E87" i="28"/>
  <c r="F87" i="28"/>
  <c r="E34" i="28"/>
  <c r="F34" i="28"/>
  <c r="E72" i="34" s="1"/>
  <c r="E39" i="25"/>
  <c r="E37" i="25" s="1"/>
  <c r="F39" i="25"/>
  <c r="D39" i="25"/>
  <c r="D37" i="25" s="1"/>
  <c r="E11" i="25"/>
  <c r="E9" i="25" s="1"/>
  <c r="F11" i="25"/>
  <c r="F9" i="25" s="1"/>
  <c r="D11" i="25"/>
  <c r="D9" i="25" s="1"/>
  <c r="D90" i="24"/>
  <c r="F66" i="24"/>
  <c r="D63" i="17"/>
  <c r="G75" i="12"/>
  <c r="I101" i="24"/>
  <c r="I97" i="24"/>
  <c r="C34" i="28" l="1"/>
  <c r="C9" i="25"/>
  <c r="D9" i="28"/>
  <c r="D7" i="28" s="1"/>
  <c r="E60" i="29"/>
  <c r="F60" i="29"/>
  <c r="D68" i="12"/>
  <c r="D72" i="12" s="1"/>
  <c r="C9" i="35"/>
  <c r="D7" i="35"/>
  <c r="D33" i="35"/>
  <c r="C31" i="35"/>
  <c r="E48" i="17"/>
  <c r="D40" i="34" s="1"/>
  <c r="D39" i="34" s="1"/>
  <c r="D48" i="17"/>
  <c r="C40" i="34" s="1"/>
  <c r="C39" i="34" s="1"/>
  <c r="F48" i="17"/>
  <c r="E40" i="34" s="1"/>
  <c r="E39" i="34" s="1"/>
  <c r="E9" i="28"/>
  <c r="D72" i="34"/>
  <c r="B72" i="34" s="1"/>
  <c r="G72" i="34" s="1"/>
  <c r="F9" i="28"/>
  <c r="H9" i="28" s="1"/>
  <c r="D40" i="12"/>
  <c r="D38" i="12" s="1"/>
  <c r="C96" i="29"/>
  <c r="F63" i="28"/>
  <c r="H63" i="28" s="1"/>
  <c r="E63" i="28"/>
  <c r="D63" i="28"/>
  <c r="I70" i="16"/>
  <c r="C68" i="16"/>
  <c r="E9" i="16"/>
  <c r="F9" i="16"/>
  <c r="H9" i="16" s="1"/>
  <c r="I24" i="12"/>
  <c r="I96" i="28"/>
  <c r="I98" i="28"/>
  <c r="I100" i="28"/>
  <c r="I102" i="28"/>
  <c r="I104" i="28"/>
  <c r="I106" i="28"/>
  <c r="I108" i="28"/>
  <c r="I110" i="28"/>
  <c r="I110" i="16"/>
  <c r="I107" i="16"/>
  <c r="I105" i="16"/>
  <c r="I104" i="16"/>
  <c r="E39" i="13"/>
  <c r="K12" i="33"/>
  <c r="K13" i="33"/>
  <c r="K14" i="33"/>
  <c r="K15" i="33"/>
  <c r="K16" i="33"/>
  <c r="K17" i="33"/>
  <c r="K18" i="33"/>
  <c r="K19" i="33"/>
  <c r="K11" i="33"/>
  <c r="I67" i="25"/>
  <c r="I68" i="25"/>
  <c r="I69" i="25"/>
  <c r="I49" i="16"/>
  <c r="C48" i="16"/>
  <c r="I48" i="16" s="1"/>
  <c r="I47" i="16"/>
  <c r="I72" i="28"/>
  <c r="I22" i="28"/>
  <c r="H64" i="25"/>
  <c r="I25" i="29"/>
  <c r="I49" i="17"/>
  <c r="I86" i="16"/>
  <c r="I26" i="13"/>
  <c r="C99" i="28"/>
  <c r="I99" i="28" s="1"/>
  <c r="C81" i="28"/>
  <c r="I81" i="28" s="1"/>
  <c r="C78" i="28"/>
  <c r="I78" i="28" s="1"/>
  <c r="C71" i="28"/>
  <c r="I71" i="28" s="1"/>
  <c r="C36" i="28"/>
  <c r="I35" i="28"/>
  <c r="C21" i="28"/>
  <c r="I21" i="28" s="1"/>
  <c r="C73" i="28"/>
  <c r="I73" i="28" s="1"/>
  <c r="C69" i="28"/>
  <c r="I69" i="28" s="1"/>
  <c r="C67" i="29"/>
  <c r="I67" i="29" s="1"/>
  <c r="C66" i="29"/>
  <c r="I66" i="29" s="1"/>
  <c r="I53" i="17"/>
  <c r="I51" i="17"/>
  <c r="C50" i="17"/>
  <c r="I50" i="17" s="1"/>
  <c r="C47" i="17"/>
  <c r="I47" i="17" s="1"/>
  <c r="I46" i="17"/>
  <c r="C45" i="17"/>
  <c r="I45" i="17" s="1"/>
  <c r="I44" i="17"/>
  <c r="C43" i="17"/>
  <c r="I43" i="17" s="1"/>
  <c r="C72" i="16"/>
  <c r="I72" i="16" s="1"/>
  <c r="C44" i="16"/>
  <c r="C83" i="16"/>
  <c r="I83" i="16" s="1"/>
  <c r="C76" i="16"/>
  <c r="C77" i="16"/>
  <c r="I77" i="16" s="1"/>
  <c r="I75" i="16"/>
  <c r="C74" i="16"/>
  <c r="I74" i="16" s="1"/>
  <c r="C73" i="16"/>
  <c r="I73" i="16" s="1"/>
  <c r="C45" i="16"/>
  <c r="I45" i="16" s="1"/>
  <c r="C43" i="16"/>
  <c r="I43" i="16" s="1"/>
  <c r="I42" i="16"/>
  <c r="I41" i="16"/>
  <c r="I40" i="16"/>
  <c r="I92" i="28"/>
  <c r="I88" i="28"/>
  <c r="I77" i="28"/>
  <c r="I67" i="28"/>
  <c r="I66" i="28"/>
  <c r="I62" i="28"/>
  <c r="I60" i="28"/>
  <c r="I53" i="28"/>
  <c r="I52" i="28"/>
  <c r="I43" i="28"/>
  <c r="I41" i="28"/>
  <c r="I39" i="28"/>
  <c r="I16" i="28"/>
  <c r="I65" i="25"/>
  <c r="I63" i="25"/>
  <c r="I61" i="25"/>
  <c r="I55" i="25"/>
  <c r="I53" i="25"/>
  <c r="I51" i="25"/>
  <c r="I49" i="25"/>
  <c r="I47" i="25"/>
  <c r="I42" i="25"/>
  <c r="I41" i="25"/>
  <c r="I40" i="25"/>
  <c r="I38" i="25"/>
  <c r="I36" i="25"/>
  <c r="I30" i="25"/>
  <c r="I29" i="25"/>
  <c r="I27" i="25"/>
  <c r="I25" i="25"/>
  <c r="I19" i="25"/>
  <c r="I16" i="25"/>
  <c r="I64" i="29"/>
  <c r="I63" i="29"/>
  <c r="I61" i="29"/>
  <c r="I57" i="29"/>
  <c r="I56" i="29"/>
  <c r="I55" i="29"/>
  <c r="I53" i="29"/>
  <c r="I52" i="29"/>
  <c r="I51" i="29"/>
  <c r="I49" i="29"/>
  <c r="I47" i="29"/>
  <c r="I46" i="29"/>
  <c r="I44" i="29"/>
  <c r="I31" i="29"/>
  <c r="I30" i="29"/>
  <c r="I29" i="29"/>
  <c r="I26" i="29"/>
  <c r="I19" i="29"/>
  <c r="I72" i="24"/>
  <c r="I69" i="24"/>
  <c r="I68" i="24"/>
  <c r="I67" i="24"/>
  <c r="I65" i="24"/>
  <c r="I63" i="24"/>
  <c r="I52" i="24"/>
  <c r="I50" i="24"/>
  <c r="I48" i="24"/>
  <c r="I44" i="24"/>
  <c r="I42" i="24"/>
  <c r="I40" i="24"/>
  <c r="I38" i="24"/>
  <c r="I32" i="24"/>
  <c r="I30" i="24"/>
  <c r="I28" i="24"/>
  <c r="I20" i="24"/>
  <c r="I16" i="24"/>
  <c r="I95" i="17"/>
  <c r="I92" i="17"/>
  <c r="I91" i="17"/>
  <c r="I90" i="17"/>
  <c r="I88" i="17"/>
  <c r="I86" i="17"/>
  <c r="I84" i="17"/>
  <c r="I83" i="17"/>
  <c r="I82" i="17"/>
  <c r="I81" i="17"/>
  <c r="I80" i="17"/>
  <c r="I79" i="17"/>
  <c r="I78" i="17"/>
  <c r="I77" i="17"/>
  <c r="I76" i="17"/>
  <c r="I75" i="17"/>
  <c r="I74" i="17"/>
  <c r="I73" i="17"/>
  <c r="I72" i="17"/>
  <c r="I71" i="17"/>
  <c r="I70" i="17"/>
  <c r="I69" i="17"/>
  <c r="I68" i="17"/>
  <c r="I67" i="17"/>
  <c r="I66" i="17"/>
  <c r="I65" i="17"/>
  <c r="I64" i="17"/>
  <c r="I54" i="17"/>
  <c r="I29" i="17"/>
  <c r="I27" i="17"/>
  <c r="I25" i="17"/>
  <c r="I18" i="17"/>
  <c r="I16" i="17"/>
  <c r="I99" i="16"/>
  <c r="I94" i="16"/>
  <c r="I92" i="16"/>
  <c r="I90" i="16"/>
  <c r="I88" i="16"/>
  <c r="I78" i="16"/>
  <c r="I69" i="16"/>
  <c r="I67" i="16"/>
  <c r="I65" i="16"/>
  <c r="I26" i="16"/>
  <c r="I24" i="16"/>
  <c r="I18" i="16"/>
  <c r="I16" i="16"/>
  <c r="I69" i="15"/>
  <c r="I68" i="15"/>
  <c r="I67" i="15"/>
  <c r="I66" i="15"/>
  <c r="I65" i="15"/>
  <c r="I64" i="15"/>
  <c r="I63" i="15"/>
  <c r="I62" i="15"/>
  <c r="I61" i="15"/>
  <c r="I60" i="15"/>
  <c r="I59" i="15"/>
  <c r="I58" i="15"/>
  <c r="I57" i="15"/>
  <c r="I56" i="15"/>
  <c r="I55" i="15"/>
  <c r="I54" i="15"/>
  <c r="I53" i="15"/>
  <c r="I52" i="15"/>
  <c r="I51" i="15"/>
  <c r="I50" i="15"/>
  <c r="I49" i="15"/>
  <c r="I48" i="15"/>
  <c r="I47" i="15"/>
  <c r="I46" i="15"/>
  <c r="I45" i="15"/>
  <c r="I44" i="15"/>
  <c r="I43" i="15"/>
  <c r="I42" i="15"/>
  <c r="I41" i="15"/>
  <c r="I40" i="15"/>
  <c r="I39" i="15"/>
  <c r="I38" i="15"/>
  <c r="I36" i="15"/>
  <c r="I32" i="15"/>
  <c r="I31" i="15"/>
  <c r="I29" i="15"/>
  <c r="I27" i="15"/>
  <c r="I20" i="15"/>
  <c r="I16" i="15"/>
  <c r="I67" i="13"/>
  <c r="I66" i="13"/>
  <c r="I65" i="13"/>
  <c r="I64" i="13"/>
  <c r="I63" i="13"/>
  <c r="I62" i="13"/>
  <c r="I61" i="13"/>
  <c r="I60" i="13"/>
  <c r="I59" i="13"/>
  <c r="I58" i="13"/>
  <c r="I57" i="13"/>
  <c r="I56" i="13"/>
  <c r="I55" i="13"/>
  <c r="I54" i="13"/>
  <c r="I53" i="13"/>
  <c r="I52" i="13"/>
  <c r="I51" i="13"/>
  <c r="I50" i="13"/>
  <c r="I49" i="13"/>
  <c r="I48" i="13"/>
  <c r="I47" i="13"/>
  <c r="I46" i="13"/>
  <c r="I45" i="13"/>
  <c r="I44" i="13"/>
  <c r="I43" i="13"/>
  <c r="I42" i="13"/>
  <c r="I41" i="13"/>
  <c r="I40" i="13"/>
  <c r="I38" i="13"/>
  <c r="I36" i="13"/>
  <c r="I34" i="13"/>
  <c r="I33" i="13"/>
  <c r="I32" i="13"/>
  <c r="I30" i="13"/>
  <c r="I28" i="13"/>
  <c r="I20" i="13"/>
  <c r="I16" i="13"/>
  <c r="I67" i="14"/>
  <c r="I66" i="14"/>
  <c r="I65" i="14"/>
  <c r="I64" i="14"/>
  <c r="I63" i="14"/>
  <c r="I62" i="14"/>
  <c r="I61" i="14"/>
  <c r="I60" i="14"/>
  <c r="I59" i="14"/>
  <c r="I58" i="14"/>
  <c r="I57" i="14"/>
  <c r="I56" i="14"/>
  <c r="I55" i="14"/>
  <c r="I54" i="14"/>
  <c r="I53" i="14"/>
  <c r="I52" i="14"/>
  <c r="I51" i="14"/>
  <c r="I50" i="14"/>
  <c r="I49" i="14"/>
  <c r="I48" i="14"/>
  <c r="I47" i="14"/>
  <c r="I46" i="14"/>
  <c r="I45" i="14"/>
  <c r="I44" i="14"/>
  <c r="I43" i="14"/>
  <c r="I42" i="14"/>
  <c r="I41" i="14"/>
  <c r="I40" i="14"/>
  <c r="I39" i="14"/>
  <c r="I38" i="14"/>
  <c r="I35" i="14"/>
  <c r="I33" i="14"/>
  <c r="I32" i="14"/>
  <c r="I30" i="14"/>
  <c r="I28" i="14"/>
  <c r="I20" i="14"/>
  <c r="I16" i="14"/>
  <c r="I16" i="12"/>
  <c r="I25" i="12"/>
  <c r="I33" i="12"/>
  <c r="I35" i="12"/>
  <c r="I39" i="12"/>
  <c r="I41" i="12"/>
  <c r="I44" i="12"/>
  <c r="I67" i="12"/>
  <c r="I63" i="12"/>
  <c r="I60" i="12"/>
  <c r="I69" i="12"/>
  <c r="I71" i="12"/>
  <c r="I73" i="12"/>
  <c r="F9" i="33"/>
  <c r="E9" i="33"/>
  <c r="C55" i="12"/>
  <c r="I55" i="12" s="1"/>
  <c r="D9" i="33"/>
  <c r="C13" i="33"/>
  <c r="I13" i="33" s="1"/>
  <c r="D75" i="12" l="1"/>
  <c r="E52" i="17"/>
  <c r="E80" i="25"/>
  <c r="F80" i="25"/>
  <c r="D60" i="29"/>
  <c r="C7" i="35"/>
  <c r="B91" i="34" s="1"/>
  <c r="C91" i="34"/>
  <c r="D30" i="34"/>
  <c r="D29" i="34" s="1"/>
  <c r="E46" i="16"/>
  <c r="E50" i="16" s="1"/>
  <c r="E37" i="16"/>
  <c r="E30" i="34"/>
  <c r="F37" i="16"/>
  <c r="H37" i="16" s="1"/>
  <c r="F46" i="16"/>
  <c r="F50" i="16" s="1"/>
  <c r="C30" i="34"/>
  <c r="C29" i="34" s="1"/>
  <c r="D128" i="16"/>
  <c r="D46" i="16"/>
  <c r="D50" i="16" s="1"/>
  <c r="D37" i="16"/>
  <c r="D35" i="16" s="1"/>
  <c r="C33" i="35"/>
  <c r="I31" i="35"/>
  <c r="D9" i="29"/>
  <c r="I103" i="29"/>
  <c r="E37" i="17"/>
  <c r="E35" i="17" s="1"/>
  <c r="C48" i="17"/>
  <c r="D52" i="17"/>
  <c r="D94" i="29"/>
  <c r="D37" i="17"/>
  <c r="D35" i="17" s="1"/>
  <c r="F52" i="17"/>
  <c r="C39" i="16"/>
  <c r="E55" i="17" l="1"/>
  <c r="D53" i="16"/>
  <c r="C50" i="16"/>
  <c r="D55" i="17"/>
  <c r="C46" i="16"/>
  <c r="F37" i="17"/>
  <c r="C52" i="17"/>
  <c r="F35" i="17" l="1"/>
  <c r="H37" i="17"/>
  <c r="C37" i="17"/>
  <c r="C58" i="34"/>
  <c r="I52" i="17"/>
  <c r="C80" i="29"/>
  <c r="I80" i="29" s="1"/>
  <c r="D58" i="34"/>
  <c r="C117" i="28"/>
  <c r="C40" i="28"/>
  <c r="I40" i="28" s="1"/>
  <c r="D65" i="34"/>
  <c r="E65" i="34"/>
  <c r="C26" i="25"/>
  <c r="I26" i="25" s="1"/>
  <c r="C43" i="29"/>
  <c r="I43" i="29" s="1"/>
  <c r="C25" i="16"/>
  <c r="I25" i="16" s="1"/>
  <c r="C35" i="17" l="1"/>
  <c r="C55" i="17" s="1"/>
  <c r="I55" i="17" s="1"/>
  <c r="F55" i="17"/>
  <c r="C65" i="34"/>
  <c r="C52" i="25"/>
  <c r="I52" i="25" s="1"/>
  <c r="C82" i="25"/>
  <c r="C110" i="24" l="1"/>
  <c r="C77" i="24"/>
  <c r="C49" i="24"/>
  <c r="I49" i="24" s="1"/>
  <c r="C29" i="24"/>
  <c r="I29" i="24" s="1"/>
  <c r="C26" i="17"/>
  <c r="I26" i="17" s="1"/>
  <c r="C120" i="16"/>
  <c r="C91" i="16"/>
  <c r="I91" i="16" s="1"/>
  <c r="C28" i="15"/>
  <c r="I28" i="15" s="1"/>
  <c r="C29" i="13"/>
  <c r="I29" i="13" s="1"/>
  <c r="C29" i="14"/>
  <c r="I29" i="14" s="1"/>
  <c r="C32" i="12"/>
  <c r="I32" i="12" s="1"/>
  <c r="E40" i="12"/>
  <c r="E38" i="12" s="1"/>
  <c r="F40" i="12"/>
  <c r="F38" i="12" s="1"/>
  <c r="D226" i="31"/>
  <c r="E226" i="31"/>
  <c r="C226" i="31"/>
  <c r="D222" i="31"/>
  <c r="E222" i="31"/>
  <c r="C222" i="31"/>
  <c r="D15" i="34"/>
  <c r="E15" i="34"/>
  <c r="C15" i="34"/>
  <c r="C11" i="33"/>
  <c r="I11" i="33" s="1"/>
  <c r="C19" i="33"/>
  <c r="I19" i="33" s="1"/>
  <c r="D76" i="34"/>
  <c r="E76" i="34"/>
  <c r="H252" i="31"/>
  <c r="D249" i="31"/>
  <c r="E249" i="31"/>
  <c r="D250" i="31"/>
  <c r="E250" i="31"/>
  <c r="C250" i="31"/>
  <c r="C249" i="31"/>
  <c r="D227" i="31"/>
  <c r="E227" i="31"/>
  <c r="C227" i="31"/>
  <c r="E223" i="31"/>
  <c r="D223" i="31"/>
  <c r="C223" i="31"/>
  <c r="D200" i="31"/>
  <c r="E200" i="31"/>
  <c r="C200" i="31"/>
  <c r="E120" i="34" l="1"/>
  <c r="C120" i="34"/>
  <c r="D120" i="34"/>
  <c r="H79" i="34"/>
  <c r="C76" i="34"/>
  <c r="B76" i="34" s="1"/>
  <c r="B222" i="31"/>
  <c r="B226" i="31"/>
  <c r="C70" i="12"/>
  <c r="I70" i="12" s="1"/>
  <c r="B15" i="34"/>
  <c r="C17" i="33"/>
  <c r="I17" i="33" s="1"/>
  <c r="E7" i="33"/>
  <c r="F7" i="33"/>
  <c r="E21" i="33"/>
  <c r="D21" i="33"/>
  <c r="F21" i="33"/>
  <c r="C15" i="33"/>
  <c r="I15" i="33" s="1"/>
  <c r="B250" i="31"/>
  <c r="H253" i="31"/>
  <c r="B249" i="31"/>
  <c r="D129" i="31"/>
  <c r="E129" i="31"/>
  <c r="C129" i="31"/>
  <c r="B120" i="34" l="1"/>
  <c r="E9" i="31"/>
  <c r="E10" i="34"/>
  <c r="D9" i="31"/>
  <c r="D10" i="34"/>
  <c r="C9" i="31"/>
  <c r="C10" i="34"/>
  <c r="G15" i="34"/>
  <c r="C21" i="33"/>
  <c r="G249" i="31"/>
  <c r="D35" i="31"/>
  <c r="E35" i="31"/>
  <c r="D36" i="31"/>
  <c r="E36" i="31"/>
  <c r="C36" i="31"/>
  <c r="C35" i="31"/>
  <c r="C9" i="34" l="1"/>
  <c r="C82" i="34"/>
  <c r="E9" i="34"/>
  <c r="E82" i="34"/>
  <c r="D9" i="34"/>
  <c r="D82" i="34"/>
  <c r="B10" i="34"/>
  <c r="D7" i="33"/>
  <c r="C9" i="33"/>
  <c r="B9" i="34" l="1"/>
  <c r="D57" i="34"/>
  <c r="D56" i="34" s="1"/>
  <c r="E94" i="29"/>
  <c r="E58" i="29"/>
  <c r="E57" i="34"/>
  <c r="C57" i="34"/>
  <c r="C56" i="34" s="1"/>
  <c r="H10" i="34"/>
  <c r="G10" i="34"/>
  <c r="C52" i="34"/>
  <c r="C51" i="34" s="1"/>
  <c r="C198" i="31"/>
  <c r="C199" i="31"/>
  <c r="G200" i="31" s="1"/>
  <c r="E198" i="31"/>
  <c r="D199" i="31"/>
  <c r="D198" i="31"/>
  <c r="C7" i="33"/>
  <c r="D55" i="34"/>
  <c r="F11" i="15"/>
  <c r="C25" i="14"/>
  <c r="I25" i="14" s="1"/>
  <c r="D9" i="14"/>
  <c r="C55" i="34" l="1"/>
  <c r="C54" i="34" s="1"/>
  <c r="C53" i="34" s="1"/>
  <c r="D9" i="15"/>
  <c r="C24" i="34"/>
  <c r="F9" i="15"/>
  <c r="E24" i="34"/>
  <c r="E23" i="34" s="1"/>
  <c r="E22" i="34" s="1"/>
  <c r="D24" i="34"/>
  <c r="D23" i="34" s="1"/>
  <c r="D22" i="34" s="1"/>
  <c r="E9" i="15"/>
  <c r="C18" i="34"/>
  <c r="E54" i="31"/>
  <c r="E18" i="34"/>
  <c r="E17" i="34" s="1"/>
  <c r="E16" i="34" s="1"/>
  <c r="F9" i="14"/>
  <c r="D18" i="34"/>
  <c r="D54" i="31"/>
  <c r="E9" i="14"/>
  <c r="C197" i="31"/>
  <c r="D197" i="31"/>
  <c r="D58" i="29"/>
  <c r="E9" i="29"/>
  <c r="D54" i="34"/>
  <c r="D53" i="34" s="1"/>
  <c r="B57" i="34"/>
  <c r="C11" i="15"/>
  <c r="C37" i="15" s="1"/>
  <c r="I37" i="15" s="1"/>
  <c r="C11" i="14"/>
  <c r="H36" i="14" s="1"/>
  <c r="D75" i="34"/>
  <c r="D84" i="34" s="1"/>
  <c r="C75" i="34"/>
  <c r="C84" i="34" s="1"/>
  <c r="F37" i="25"/>
  <c r="E64" i="24"/>
  <c r="F64" i="24"/>
  <c r="H64" i="24" s="1"/>
  <c r="D64" i="24"/>
  <c r="C57" i="12"/>
  <c r="C22" i="25"/>
  <c r="I22" i="25" s="1"/>
  <c r="H37" i="25" l="1"/>
  <c r="C37" i="25"/>
  <c r="E84" i="34"/>
  <c r="A84" i="34" s="1"/>
  <c r="D98" i="29"/>
  <c r="D101" i="29" s="1"/>
  <c r="D62" i="25"/>
  <c r="C62" i="25" s="1"/>
  <c r="D50" i="25"/>
  <c r="D54" i="25" s="1"/>
  <c r="D35" i="25"/>
  <c r="D17" i="34"/>
  <c r="D16" i="34" s="1"/>
  <c r="E84" i="25"/>
  <c r="E87" i="25" s="1"/>
  <c r="F84" i="25"/>
  <c r="F87" i="25" s="1"/>
  <c r="E71" i="34"/>
  <c r="E70" i="34" s="1"/>
  <c r="E74" i="34"/>
  <c r="C71" i="34"/>
  <c r="C70" i="34" s="1"/>
  <c r="D74" i="34"/>
  <c r="D73" i="34" s="1"/>
  <c r="C74" i="34"/>
  <c r="C73" i="34" s="1"/>
  <c r="F50" i="25"/>
  <c r="F54" i="25" s="1"/>
  <c r="F35" i="25"/>
  <c r="E35" i="25"/>
  <c r="E50" i="25"/>
  <c r="E54" i="25" s="1"/>
  <c r="H9" i="25"/>
  <c r="E61" i="34"/>
  <c r="E60" i="34" s="1"/>
  <c r="B65" i="34"/>
  <c r="D225" i="31"/>
  <c r="D224" i="31" s="1"/>
  <c r="D67" i="34"/>
  <c r="D66" i="34" s="1"/>
  <c r="C221" i="31"/>
  <c r="C64" i="34"/>
  <c r="C63" i="34" s="1"/>
  <c r="E64" i="34"/>
  <c r="E63" i="34" s="1"/>
  <c r="E221" i="31"/>
  <c r="E220" i="31" s="1"/>
  <c r="C225" i="31"/>
  <c r="C67" i="34"/>
  <c r="C66" i="34" s="1"/>
  <c r="D61" i="34"/>
  <c r="D60" i="34" s="1"/>
  <c r="C61" i="34"/>
  <c r="D221" i="31"/>
  <c r="D220" i="31" s="1"/>
  <c r="D64" i="34"/>
  <c r="D63" i="34" s="1"/>
  <c r="E67" i="34"/>
  <c r="E66" i="34" s="1"/>
  <c r="E225" i="31"/>
  <c r="E224" i="31" s="1"/>
  <c r="E52" i="34"/>
  <c r="E51" i="34" s="1"/>
  <c r="F90" i="24"/>
  <c r="H90" i="24" s="1"/>
  <c r="D52" i="34"/>
  <c r="D51" i="34" s="1"/>
  <c r="E90" i="24"/>
  <c r="D38" i="34"/>
  <c r="D37" i="34" s="1"/>
  <c r="D36" i="34" s="1"/>
  <c r="E9" i="17"/>
  <c r="D9" i="17"/>
  <c r="C38" i="34"/>
  <c r="F9" i="17"/>
  <c r="H9" i="17" s="1"/>
  <c r="E38" i="34"/>
  <c r="E37" i="34" s="1"/>
  <c r="E28" i="34"/>
  <c r="E27" i="34" s="1"/>
  <c r="C23" i="34"/>
  <c r="B24" i="34"/>
  <c r="C17" i="34"/>
  <c r="B18" i="34"/>
  <c r="D9" i="24"/>
  <c r="C46" i="34"/>
  <c r="C45" i="34" s="1"/>
  <c r="C50" i="34"/>
  <c r="C49" i="34" s="1"/>
  <c r="F9" i="24"/>
  <c r="H9" i="24" s="1"/>
  <c r="E46" i="34"/>
  <c r="E50" i="34"/>
  <c r="E49" i="34" s="1"/>
  <c r="E9" i="24"/>
  <c r="D46" i="34"/>
  <c r="D50" i="34"/>
  <c r="D49" i="34" s="1"/>
  <c r="C92" i="24"/>
  <c r="D7" i="29"/>
  <c r="C39" i="25"/>
  <c r="I39" i="25" s="1"/>
  <c r="C46" i="25"/>
  <c r="I46" i="25" s="1"/>
  <c r="B66" i="34" l="1"/>
  <c r="E59" i="34"/>
  <c r="G65" i="34"/>
  <c r="D80" i="25"/>
  <c r="D84" i="25" s="1"/>
  <c r="F57" i="25"/>
  <c r="E57" i="25"/>
  <c r="D57" i="25"/>
  <c r="C70" i="29"/>
  <c r="C54" i="25"/>
  <c r="B74" i="34"/>
  <c r="G252" i="31"/>
  <c r="G248" i="31" s="1"/>
  <c r="G79" i="34"/>
  <c r="G223" i="31"/>
  <c r="C60" i="34"/>
  <c r="B60" i="34" s="1"/>
  <c r="B61" i="34"/>
  <c r="B67" i="34"/>
  <c r="B225" i="31"/>
  <c r="C224" i="31"/>
  <c r="C220" i="31"/>
  <c r="B220" i="31" s="1"/>
  <c r="B221" i="31"/>
  <c r="D59" i="34"/>
  <c r="B64" i="34"/>
  <c r="G64" i="34" s="1"/>
  <c r="C90" i="24"/>
  <c r="B51" i="34"/>
  <c r="B52" i="34"/>
  <c r="C9" i="24"/>
  <c r="C37" i="34"/>
  <c r="C36" i="34" s="1"/>
  <c r="B38" i="34"/>
  <c r="C22" i="34"/>
  <c r="B22" i="34" s="1"/>
  <c r="H22" i="34" s="1"/>
  <c r="B23" i="34"/>
  <c r="C16" i="34"/>
  <c r="B16" i="34" s="1"/>
  <c r="H16" i="34" s="1"/>
  <c r="B17" i="34"/>
  <c r="D45" i="34"/>
  <c r="B49" i="34"/>
  <c r="B50" i="34"/>
  <c r="E45" i="34"/>
  <c r="B46" i="34"/>
  <c r="C64" i="24"/>
  <c r="I64" i="24" s="1"/>
  <c r="E55" i="34"/>
  <c r="C84" i="25" l="1"/>
  <c r="D87" i="25"/>
  <c r="I54" i="25"/>
  <c r="D71" i="34"/>
  <c r="E58" i="34"/>
  <c r="F94" i="29"/>
  <c r="C69" i="34"/>
  <c r="E75" i="34"/>
  <c r="C59" i="34"/>
  <c r="B63" i="34"/>
  <c r="B37" i="34"/>
  <c r="B45" i="34"/>
  <c r="F9" i="29"/>
  <c r="H9" i="29" s="1"/>
  <c r="C11" i="28"/>
  <c r="E199" i="31"/>
  <c r="E197" i="31" s="1"/>
  <c r="C11" i="29"/>
  <c r="C89" i="28"/>
  <c r="E56" i="34" l="1"/>
  <c r="B56" i="34" s="1"/>
  <c r="J84" i="34"/>
  <c r="K84" i="34" s="1"/>
  <c r="E73" i="34"/>
  <c r="E69" i="34" s="1"/>
  <c r="I89" i="28"/>
  <c r="D70" i="34"/>
  <c r="D69" i="34" s="1"/>
  <c r="B71" i="34"/>
  <c r="B59" i="34"/>
  <c r="H59" i="34" s="1"/>
  <c r="B75" i="34"/>
  <c r="D28" i="34"/>
  <c r="B58" i="34"/>
  <c r="F58" i="29"/>
  <c r="C60" i="29"/>
  <c r="E54" i="34"/>
  <c r="B55" i="34"/>
  <c r="B9" i="31"/>
  <c r="B70" i="34" l="1"/>
  <c r="D27" i="34"/>
  <c r="B28" i="34"/>
  <c r="C58" i="29"/>
  <c r="G58" i="34"/>
  <c r="B69" i="34"/>
  <c r="B73" i="34"/>
  <c r="E53" i="34"/>
  <c r="B54" i="34"/>
  <c r="B27" i="34" l="1"/>
  <c r="B53" i="34"/>
  <c r="C15" i="13"/>
  <c r="I15" i="13" l="1"/>
  <c r="H53" i="34"/>
  <c r="G53" i="34"/>
  <c r="B36" i="31"/>
  <c r="C70" i="25"/>
  <c r="I70" i="25" s="1"/>
  <c r="C27" i="28"/>
  <c r="I27" i="28" s="1"/>
  <c r="C24" i="28"/>
  <c r="I24" i="28" s="1"/>
  <c r="C23" i="28"/>
  <c r="I23" i="28" s="1"/>
  <c r="C20" i="28"/>
  <c r="I20" i="28" s="1"/>
  <c r="C48" i="25"/>
  <c r="I48" i="25" s="1"/>
  <c r="C20" i="25"/>
  <c r="I20" i="25" s="1"/>
  <c r="C89" i="29"/>
  <c r="I89" i="29" s="1"/>
  <c r="C37" i="29"/>
  <c r="C36" i="29"/>
  <c r="I36" i="29" s="1"/>
  <c r="C32" i="29"/>
  <c r="I32" i="29" s="1"/>
  <c r="C106" i="24"/>
  <c r="I106" i="24" s="1"/>
  <c r="C103" i="24"/>
  <c r="I103" i="24" s="1"/>
  <c r="C102" i="24"/>
  <c r="I102" i="24" s="1"/>
  <c r="C100" i="24"/>
  <c r="I100" i="24" s="1"/>
  <c r="H116" i="24"/>
  <c r="E43" i="24"/>
  <c r="E41" i="24" s="1"/>
  <c r="F43" i="24"/>
  <c r="F41" i="24" s="1"/>
  <c r="C21" i="24"/>
  <c r="I21" i="24" s="1"/>
  <c r="C22" i="17"/>
  <c r="I22" i="17" s="1"/>
  <c r="C19" i="17"/>
  <c r="I19" i="17" s="1"/>
  <c r="C20" i="17"/>
  <c r="I20" i="17" s="1"/>
  <c r="C114" i="16"/>
  <c r="I114" i="16" s="1"/>
  <c r="C113" i="16"/>
  <c r="I113" i="16" s="1"/>
  <c r="C117" i="16"/>
  <c r="C112" i="16"/>
  <c r="C109" i="16"/>
  <c r="I109" i="16" s="1"/>
  <c r="C21" i="16"/>
  <c r="I21" i="16" s="1"/>
  <c r="C20" i="16"/>
  <c r="I20" i="16" s="1"/>
  <c r="C25" i="15"/>
  <c r="I25" i="15" s="1"/>
  <c r="C21" i="15"/>
  <c r="I21" i="15" s="1"/>
  <c r="C22" i="13"/>
  <c r="I22" i="13" s="1"/>
  <c r="C21" i="13"/>
  <c r="I21" i="13" s="1"/>
  <c r="C21" i="14"/>
  <c r="I21" i="14" s="1"/>
  <c r="C62" i="12"/>
  <c r="I62" i="12" s="1"/>
  <c r="C27" i="12"/>
  <c r="I27" i="12" s="1"/>
  <c r="C15" i="12"/>
  <c r="C48" i="34" l="1"/>
  <c r="C47" i="34" s="1"/>
  <c r="C44" i="34" s="1"/>
  <c r="D39" i="24"/>
  <c r="I37" i="29"/>
  <c r="I15" i="12"/>
  <c r="F9" i="13"/>
  <c r="E21" i="34"/>
  <c r="E9" i="13"/>
  <c r="D21" i="34"/>
  <c r="D9" i="13"/>
  <c r="C21" i="34"/>
  <c r="C76" i="31"/>
  <c r="C11" i="13"/>
  <c r="C43" i="24"/>
  <c r="I43" i="24" s="1"/>
  <c r="D20" i="34" l="1"/>
  <c r="D19" i="34" s="1"/>
  <c r="E20" i="34"/>
  <c r="E19" i="34" s="1"/>
  <c r="C9" i="13"/>
  <c r="C20" i="34"/>
  <c r="B21" i="34"/>
  <c r="I158" i="32"/>
  <c r="J158" i="32"/>
  <c r="K158" i="32"/>
  <c r="M158" i="32"/>
  <c r="N158" i="32"/>
  <c r="O158" i="32"/>
  <c r="G158" i="32"/>
  <c r="F158" i="32"/>
  <c r="E158" i="32"/>
  <c r="C156" i="32"/>
  <c r="A158" i="32"/>
  <c r="N142" i="32"/>
  <c r="M142" i="32"/>
  <c r="J142" i="32"/>
  <c r="I142" i="32"/>
  <c r="G142" i="32"/>
  <c r="E142" i="32"/>
  <c r="B149" i="32"/>
  <c r="C29" i="32"/>
  <c r="C28" i="32"/>
  <c r="C27" i="32"/>
  <c r="C24" i="32"/>
  <c r="C23" i="32"/>
  <c r="C22" i="32"/>
  <c r="C19" i="32"/>
  <c r="C18" i="32"/>
  <c r="C17" i="32"/>
  <c r="C12" i="32"/>
  <c r="C63" i="32"/>
  <c r="C60" i="32"/>
  <c r="C59" i="32"/>
  <c r="C58" i="32"/>
  <c r="C54" i="32"/>
  <c r="C50" i="32"/>
  <c r="C47" i="32"/>
  <c r="C141" i="32"/>
  <c r="C140" i="32"/>
  <c r="C134" i="32"/>
  <c r="C130" i="32"/>
  <c r="C129" i="32"/>
  <c r="C128" i="32"/>
  <c r="C124" i="32"/>
  <c r="C121" i="32"/>
  <c r="C99" i="32"/>
  <c r="C96" i="32"/>
  <c r="C95" i="32"/>
  <c r="C91" i="32"/>
  <c r="C87" i="32"/>
  <c r="C84" i="32"/>
  <c r="V17" i="32"/>
  <c r="V22" i="32"/>
  <c r="V27" i="32"/>
  <c r="V32" i="32"/>
  <c r="V33" i="32"/>
  <c r="V34" i="32"/>
  <c r="V35" i="32"/>
  <c r="V36" i="32"/>
  <c r="V37" i="32"/>
  <c r="V38" i="32"/>
  <c r="V39" i="32"/>
  <c r="V40" i="32"/>
  <c r="V41" i="32"/>
  <c r="V42" i="32"/>
  <c r="V58" i="32"/>
  <c r="V66" i="32"/>
  <c r="V67" i="32"/>
  <c r="V68" i="32"/>
  <c r="V69" i="32"/>
  <c r="V70" i="32"/>
  <c r="V71" i="32"/>
  <c r="V72" i="32"/>
  <c r="V73" i="32"/>
  <c r="V74" i="32"/>
  <c r="V75" i="32"/>
  <c r="V76" i="32"/>
  <c r="V77" i="32"/>
  <c r="V78" i="32"/>
  <c r="V79" i="32"/>
  <c r="V104" i="32"/>
  <c r="V105" i="32"/>
  <c r="V106" i="32"/>
  <c r="V107" i="32"/>
  <c r="V108" i="32"/>
  <c r="V109" i="32"/>
  <c r="V110" i="32"/>
  <c r="V111" i="32"/>
  <c r="V112" i="32"/>
  <c r="V113" i="32"/>
  <c r="V114" i="32"/>
  <c r="V115" i="32"/>
  <c r="V116" i="32"/>
  <c r="L94" i="32"/>
  <c r="V94" i="32" s="1"/>
  <c r="N155" i="32"/>
  <c r="B128" i="32"/>
  <c r="V128" i="32" s="1"/>
  <c r="O155" i="32"/>
  <c r="K155" i="32"/>
  <c r="J155" i="32"/>
  <c r="I155" i="32"/>
  <c r="G155" i="32"/>
  <c r="F155" i="32"/>
  <c r="E155" i="32"/>
  <c r="O154" i="32"/>
  <c r="N154" i="32"/>
  <c r="M154" i="32"/>
  <c r="K154" i="32"/>
  <c r="J154" i="32"/>
  <c r="I154" i="32"/>
  <c r="G154" i="32"/>
  <c r="F154" i="32"/>
  <c r="E154" i="32"/>
  <c r="N153" i="32"/>
  <c r="J153" i="32"/>
  <c r="J156" i="32" s="1"/>
  <c r="G153" i="32"/>
  <c r="E153" i="32"/>
  <c r="E156" i="32" s="1"/>
  <c r="U128" i="32"/>
  <c r="U116" i="32"/>
  <c r="U115" i="32"/>
  <c r="U114" i="32"/>
  <c r="U113" i="32"/>
  <c r="U112" i="32"/>
  <c r="U111" i="32"/>
  <c r="U110" i="32"/>
  <c r="U109" i="32"/>
  <c r="U108" i="32"/>
  <c r="U107" i="32"/>
  <c r="U106" i="32"/>
  <c r="U105" i="32"/>
  <c r="U104" i="32"/>
  <c r="U79" i="32"/>
  <c r="U78" i="32"/>
  <c r="U77" i="32"/>
  <c r="U76" i="32"/>
  <c r="U75" i="32"/>
  <c r="U74" i="32"/>
  <c r="U73" i="32"/>
  <c r="U72" i="32"/>
  <c r="U71" i="32"/>
  <c r="U70" i="32"/>
  <c r="U69" i="32"/>
  <c r="U68" i="32"/>
  <c r="U67" i="32"/>
  <c r="U66" i="32"/>
  <c r="U58" i="32"/>
  <c r="U42" i="32"/>
  <c r="U41" i="32"/>
  <c r="U40" i="32"/>
  <c r="U39" i="32"/>
  <c r="U38" i="32"/>
  <c r="U37" i="32"/>
  <c r="U36" i="32"/>
  <c r="U35" i="32"/>
  <c r="U34" i="32"/>
  <c r="U33" i="32"/>
  <c r="U32" i="32"/>
  <c r="U27" i="32"/>
  <c r="U22" i="32"/>
  <c r="U17" i="32"/>
  <c r="S128" i="32"/>
  <c r="S116" i="32"/>
  <c r="S115" i="32"/>
  <c r="S114" i="32"/>
  <c r="S113" i="32"/>
  <c r="S112" i="32"/>
  <c r="S111" i="32"/>
  <c r="S110" i="32"/>
  <c r="S109" i="32"/>
  <c r="S108" i="32"/>
  <c r="S107" i="32"/>
  <c r="S106" i="32"/>
  <c r="S105" i="32"/>
  <c r="S104" i="32"/>
  <c r="S94" i="32"/>
  <c r="S79" i="32"/>
  <c r="S78" i="32"/>
  <c r="S77" i="32"/>
  <c r="S76" i="32"/>
  <c r="S75" i="32"/>
  <c r="S74" i="32"/>
  <c r="S73" i="32"/>
  <c r="S72" i="32"/>
  <c r="S71" i="32"/>
  <c r="S70" i="32"/>
  <c r="S69" i="32"/>
  <c r="S68" i="32"/>
  <c r="S67" i="32"/>
  <c r="S66" i="32"/>
  <c r="S58" i="32"/>
  <c r="S42" i="32"/>
  <c r="S41" i="32"/>
  <c r="S40" i="32"/>
  <c r="S39" i="32"/>
  <c r="S38" i="32"/>
  <c r="S37" i="32"/>
  <c r="S36" i="32"/>
  <c r="S35" i="32"/>
  <c r="S34" i="32"/>
  <c r="S33" i="32"/>
  <c r="S32" i="32"/>
  <c r="S27" i="32"/>
  <c r="S22" i="32"/>
  <c r="S17" i="32"/>
  <c r="Q128" i="32"/>
  <c r="Q116" i="32"/>
  <c r="Q115" i="32"/>
  <c r="Q114" i="32"/>
  <c r="Q113" i="32"/>
  <c r="Q112" i="32"/>
  <c r="Q111" i="32"/>
  <c r="Q110" i="32"/>
  <c r="Q109" i="32"/>
  <c r="Q108" i="32"/>
  <c r="Q107" i="32"/>
  <c r="Q106" i="32"/>
  <c r="Q105" i="32"/>
  <c r="Q104" i="32"/>
  <c r="Q94" i="32"/>
  <c r="Q79" i="32"/>
  <c r="Q78" i="32"/>
  <c r="Q77" i="32"/>
  <c r="Q76" i="32"/>
  <c r="Q75" i="32"/>
  <c r="Q74" i="32"/>
  <c r="Q73" i="32"/>
  <c r="Q72" i="32"/>
  <c r="Q71" i="32"/>
  <c r="Q70" i="32"/>
  <c r="Q69" i="32"/>
  <c r="Q68" i="32"/>
  <c r="Q67" i="32"/>
  <c r="Q66" i="32"/>
  <c r="Q58" i="32"/>
  <c r="Q42" i="32"/>
  <c r="Q41" i="32"/>
  <c r="Q40" i="32"/>
  <c r="Q39" i="32"/>
  <c r="Q38" i="32"/>
  <c r="Q37" i="32"/>
  <c r="Q36" i="32"/>
  <c r="Q35" i="32"/>
  <c r="Q34" i="32"/>
  <c r="Q33" i="32"/>
  <c r="Q32" i="32"/>
  <c r="Q27" i="32"/>
  <c r="Q22" i="32"/>
  <c r="Q17" i="32"/>
  <c r="W153" i="32"/>
  <c r="W154" i="32" s="1"/>
  <c r="T139" i="32"/>
  <c r="L139" i="32" s="1"/>
  <c r="R139" i="32"/>
  <c r="H139" i="32" s="1"/>
  <c r="P139" i="32"/>
  <c r="T138" i="32"/>
  <c r="L138" i="32" s="1"/>
  <c r="U138" i="32" s="1"/>
  <c r="R138" i="32"/>
  <c r="H138" i="32" s="1"/>
  <c r="S138" i="32" s="1"/>
  <c r="P138" i="32"/>
  <c r="R125" i="32"/>
  <c r="K125" i="32" s="1"/>
  <c r="S125" i="32" s="1"/>
  <c r="P125" i="32"/>
  <c r="T103" i="32"/>
  <c r="L103" i="32" s="1"/>
  <c r="U103" i="32" s="1"/>
  <c r="R103" i="32"/>
  <c r="H103" i="32" s="1"/>
  <c r="S103" i="32" s="1"/>
  <c r="P103" i="32"/>
  <c r="T102" i="32"/>
  <c r="L102" i="32" s="1"/>
  <c r="U102" i="32" s="1"/>
  <c r="R102" i="32"/>
  <c r="H102" i="32" s="1"/>
  <c r="S102" i="32" s="1"/>
  <c r="P102" i="32"/>
  <c r="T57" i="32"/>
  <c r="L57" i="32" s="1"/>
  <c r="P57" i="32"/>
  <c r="T53" i="32"/>
  <c r="L53" i="32" s="1"/>
  <c r="U53" i="32" s="1"/>
  <c r="R53" i="32"/>
  <c r="H53" i="32" s="1"/>
  <c r="S53" i="32" s="1"/>
  <c r="P53" i="32"/>
  <c r="T16" i="32"/>
  <c r="L16" i="32" s="1"/>
  <c r="U16" i="32" s="1"/>
  <c r="R16" i="32"/>
  <c r="P16" i="32"/>
  <c r="T15" i="32"/>
  <c r="R15" i="32"/>
  <c r="H15" i="32" s="1"/>
  <c r="P15" i="32"/>
  <c r="T13" i="32"/>
  <c r="O13" i="32" s="1"/>
  <c r="U13" i="32" s="1"/>
  <c r="R13" i="32"/>
  <c r="K13" i="32" s="1"/>
  <c r="S13" i="32" s="1"/>
  <c r="P13" i="32"/>
  <c r="C32" i="34"/>
  <c r="H150" i="30"/>
  <c r="H151" i="30" s="1"/>
  <c r="C19" i="34" l="1"/>
  <c r="B20" i="34"/>
  <c r="P52" i="32"/>
  <c r="D52" i="32" s="1"/>
  <c r="B16" i="32"/>
  <c r="N156" i="32"/>
  <c r="U94" i="32"/>
  <c r="G156" i="32"/>
  <c r="C94" i="32"/>
  <c r="B139" i="32"/>
  <c r="D139" i="32"/>
  <c r="B15" i="32"/>
  <c r="D15" i="32"/>
  <c r="F125" i="32"/>
  <c r="B138" i="32"/>
  <c r="D138" i="32"/>
  <c r="C138" i="32" s="1"/>
  <c r="D16" i="32"/>
  <c r="D57" i="32"/>
  <c r="B102" i="32"/>
  <c r="D102" i="32"/>
  <c r="C102" i="32" s="1"/>
  <c r="S15" i="32"/>
  <c r="D53" i="32"/>
  <c r="C53" i="32" s="1"/>
  <c r="B53" i="32"/>
  <c r="H16" i="32"/>
  <c r="B103" i="32"/>
  <c r="D103" i="32"/>
  <c r="C103" i="32" s="1"/>
  <c r="F13" i="32"/>
  <c r="C13" i="32" s="1"/>
  <c r="B13" i="32"/>
  <c r="L15" i="32"/>
  <c r="U139" i="32"/>
  <c r="I153" i="32"/>
  <c r="I156" i="32" s="1"/>
  <c r="B19" i="34" l="1"/>
  <c r="H19" i="34" s="1"/>
  <c r="S16" i="32"/>
  <c r="C16" i="32"/>
  <c r="C15" i="32"/>
  <c r="V139" i="32"/>
  <c r="C139" i="32"/>
  <c r="Q52" i="32"/>
  <c r="Q53" i="32"/>
  <c r="V53" i="32"/>
  <c r="V102" i="32"/>
  <c r="Q102" i="32"/>
  <c r="Q57" i="32"/>
  <c r="V16" i="32"/>
  <c r="Q16" i="32"/>
  <c r="V13" i="32"/>
  <c r="Q13" i="32"/>
  <c r="V103" i="32"/>
  <c r="Q103" i="32"/>
  <c r="Q125" i="32"/>
  <c r="L125" i="32" s="1"/>
  <c r="U15" i="32"/>
  <c r="V138" i="32"/>
  <c r="Q138" i="32"/>
  <c r="Q15" i="32"/>
  <c r="V15" i="32"/>
  <c r="S139" i="32"/>
  <c r="B223" i="31"/>
  <c r="E126" i="31"/>
  <c r="D126" i="31"/>
  <c r="C126" i="31"/>
  <c r="C87" i="29"/>
  <c r="I87" i="29" s="1"/>
  <c r="C109" i="28"/>
  <c r="I109" i="28" s="1"/>
  <c r="C107" i="28"/>
  <c r="I107" i="28" s="1"/>
  <c r="B200" i="31" l="1"/>
  <c r="B126" i="31"/>
  <c r="B199" i="31"/>
  <c r="G199" i="31" l="1"/>
  <c r="D138" i="30"/>
  <c r="E138" i="30"/>
  <c r="D139" i="30"/>
  <c r="E139" i="30"/>
  <c r="C139" i="30"/>
  <c r="C138" i="30"/>
  <c r="C203" i="28"/>
  <c r="C205" i="28"/>
  <c r="C207" i="28"/>
  <c r="C209" i="28"/>
  <c r="C105" i="28"/>
  <c r="I105" i="28" s="1"/>
  <c r="D125" i="30" l="1"/>
  <c r="C125" i="30"/>
  <c r="D103" i="30"/>
  <c r="E103" i="30"/>
  <c r="C103" i="30"/>
  <c r="D102" i="30"/>
  <c r="E102" i="30"/>
  <c r="C102" i="30"/>
  <c r="D53" i="30"/>
  <c r="E53" i="30"/>
  <c r="C53" i="30"/>
  <c r="E57" i="30"/>
  <c r="C57" i="30"/>
  <c r="E15" i="30"/>
  <c r="D16" i="30"/>
  <c r="E16" i="30"/>
  <c r="C16" i="30"/>
  <c r="C15" i="30"/>
  <c r="B139" i="30"/>
  <c r="C127" i="30" l="1"/>
  <c r="C141" i="30" s="1"/>
  <c r="P127" i="32"/>
  <c r="D127" i="32" s="1"/>
  <c r="R127" i="32"/>
  <c r="H127" i="32" s="1"/>
  <c r="T127" i="32"/>
  <c r="E127" i="30"/>
  <c r="E141" i="30" s="1"/>
  <c r="D127" i="30"/>
  <c r="D162" i="30" s="1"/>
  <c r="B53" i="30"/>
  <c r="B16" i="30"/>
  <c r="B138" i="30"/>
  <c r="B103" i="30"/>
  <c r="B102" i="30"/>
  <c r="C162" i="30" l="1"/>
  <c r="C163" i="30" s="1"/>
  <c r="P141" i="32"/>
  <c r="B127" i="32"/>
  <c r="B158" i="32" s="1"/>
  <c r="E162" i="30"/>
  <c r="E163" i="30" s="1"/>
  <c r="R167" i="32"/>
  <c r="P167" i="32"/>
  <c r="R141" i="32"/>
  <c r="S141" i="32" s="1"/>
  <c r="L127" i="32"/>
  <c r="T167" i="32"/>
  <c r="T141" i="32"/>
  <c r="U141" i="32" s="1"/>
  <c r="D158" i="32"/>
  <c r="Q127" i="32"/>
  <c r="B227" i="31"/>
  <c r="S127" i="32"/>
  <c r="H158" i="32"/>
  <c r="K159" i="32" s="1"/>
  <c r="D141" i="30"/>
  <c r="D163" i="30" s="1"/>
  <c r="B127" i="30"/>
  <c r="B162" i="30" s="1"/>
  <c r="D100" i="16"/>
  <c r="R46" i="32"/>
  <c r="H46" i="32" s="1"/>
  <c r="S46" i="32" s="1"/>
  <c r="T46" i="32"/>
  <c r="L46" i="32" s="1"/>
  <c r="U46" i="32" s="1"/>
  <c r="P46" i="32"/>
  <c r="P45" i="32"/>
  <c r="C52" i="12"/>
  <c r="I52" i="12" s="1"/>
  <c r="C54" i="12"/>
  <c r="I54" i="12" s="1"/>
  <c r="C53" i="12"/>
  <c r="I53" i="12" s="1"/>
  <c r="C50" i="12"/>
  <c r="I50" i="12" s="1"/>
  <c r="C49" i="12"/>
  <c r="I49" i="12" s="1"/>
  <c r="C48" i="12"/>
  <c r="P10" i="32"/>
  <c r="C29" i="12"/>
  <c r="I29" i="12" s="1"/>
  <c r="C28" i="12"/>
  <c r="I28" i="12" s="1"/>
  <c r="C26" i="12"/>
  <c r="I26" i="12" s="1"/>
  <c r="C23" i="12"/>
  <c r="I23" i="12" s="1"/>
  <c r="C19" i="12"/>
  <c r="I19" i="12" s="1"/>
  <c r="C21" i="12"/>
  <c r="I21" i="12" s="1"/>
  <c r="C22" i="12"/>
  <c r="I22" i="12" s="1"/>
  <c r="C17" i="12"/>
  <c r="C20" i="12"/>
  <c r="I20" i="12" s="1"/>
  <c r="C18" i="12"/>
  <c r="I18" i="12" s="1"/>
  <c r="F100" i="16"/>
  <c r="H100" i="16" s="1"/>
  <c r="E100" i="16"/>
  <c r="T55" i="32"/>
  <c r="R55" i="32"/>
  <c r="P55" i="32"/>
  <c r="E32" i="34"/>
  <c r="D32" i="34"/>
  <c r="T51" i="32"/>
  <c r="R51" i="32"/>
  <c r="P51" i="32"/>
  <c r="R57" i="32"/>
  <c r="C116" i="16"/>
  <c r="I116" i="16" s="1"/>
  <c r="C115" i="16"/>
  <c r="I115" i="16" s="1"/>
  <c r="C108" i="16"/>
  <c r="I108" i="16" s="1"/>
  <c r="C106" i="16"/>
  <c r="I106" i="16" s="1"/>
  <c r="C22" i="16"/>
  <c r="I22" i="16" s="1"/>
  <c r="C19" i="16"/>
  <c r="I19" i="16" s="1"/>
  <c r="C17" i="16"/>
  <c r="I17" i="16" s="1"/>
  <c r="C15" i="16"/>
  <c r="I15" i="16" s="1"/>
  <c r="R45" i="32"/>
  <c r="T45" i="32"/>
  <c r="C79" i="16"/>
  <c r="I79" i="16" s="1"/>
  <c r="C87" i="16"/>
  <c r="I87" i="16" s="1"/>
  <c r="P100" i="32"/>
  <c r="R100" i="32"/>
  <c r="T100" i="32"/>
  <c r="P101" i="32"/>
  <c r="R101" i="32"/>
  <c r="H101" i="32" s="1"/>
  <c r="S101" i="32" s="1"/>
  <c r="T101" i="32"/>
  <c r="L101" i="32" s="1"/>
  <c r="U101" i="32" s="1"/>
  <c r="C38" i="29"/>
  <c r="C39" i="29"/>
  <c r="I39" i="29" s="1"/>
  <c r="C40" i="29"/>
  <c r="I40" i="29" s="1"/>
  <c r="C72" i="29"/>
  <c r="I72" i="29" s="1"/>
  <c r="C74" i="29"/>
  <c r="I74" i="29" s="1"/>
  <c r="C82" i="29"/>
  <c r="I82" i="29" s="1"/>
  <c r="C84" i="29"/>
  <c r="I84" i="29" s="1"/>
  <c r="C33" i="29"/>
  <c r="I33" i="29" s="1"/>
  <c r="C35" i="29"/>
  <c r="I35" i="29" s="1"/>
  <c r="C34" i="29"/>
  <c r="I34" i="29" s="1"/>
  <c r="C21" i="29"/>
  <c r="I21" i="29" s="1"/>
  <c r="C24" i="29"/>
  <c r="I24" i="29" s="1"/>
  <c r="C23" i="29"/>
  <c r="I23" i="29" s="1"/>
  <c r="C22" i="29"/>
  <c r="I22" i="29" s="1"/>
  <c r="C20" i="29"/>
  <c r="I20" i="29" s="1"/>
  <c r="C17" i="29"/>
  <c r="I17" i="29" s="1"/>
  <c r="C16" i="29"/>
  <c r="I16" i="29" s="1"/>
  <c r="C18" i="29"/>
  <c r="I18" i="29" s="1"/>
  <c r="C15" i="29"/>
  <c r="I15" i="29" s="1"/>
  <c r="T98" i="32"/>
  <c r="L98" i="32" s="1"/>
  <c r="U98" i="32" s="1"/>
  <c r="R98" i="32"/>
  <c r="H98" i="32" s="1"/>
  <c r="S98" i="32" s="1"/>
  <c r="P98" i="32"/>
  <c r="T97" i="32"/>
  <c r="R97" i="32"/>
  <c r="P97" i="32"/>
  <c r="T90" i="32"/>
  <c r="R90" i="32"/>
  <c r="H90" i="32" s="1"/>
  <c r="S90" i="32" s="1"/>
  <c r="P137" i="32"/>
  <c r="R137" i="32"/>
  <c r="T137" i="32"/>
  <c r="C93" i="28"/>
  <c r="I93" i="28" s="1"/>
  <c r="C95" i="28"/>
  <c r="I95" i="28" s="1"/>
  <c r="C97" i="28"/>
  <c r="I97" i="28" s="1"/>
  <c r="C101" i="28"/>
  <c r="I101" i="28" s="1"/>
  <c r="C103" i="28"/>
  <c r="I103" i="28" s="1"/>
  <c r="C201" i="28"/>
  <c r="R135" i="32"/>
  <c r="T135" i="32"/>
  <c r="P135" i="32"/>
  <c r="P133" i="32"/>
  <c r="R133" i="32"/>
  <c r="H133" i="32" s="1"/>
  <c r="S133" i="32" s="1"/>
  <c r="T133" i="32"/>
  <c r="L133" i="32" s="1"/>
  <c r="U133" i="32" s="1"/>
  <c r="P126" i="32"/>
  <c r="R126" i="32"/>
  <c r="T126" i="32"/>
  <c r="L126" i="32" s="1"/>
  <c r="U126" i="32" s="1"/>
  <c r="C73" i="25"/>
  <c r="I73" i="25" s="1"/>
  <c r="C71" i="25"/>
  <c r="I71" i="25" s="1"/>
  <c r="C45" i="25"/>
  <c r="I45" i="25" s="1"/>
  <c r="C44" i="25"/>
  <c r="I44" i="25" s="1"/>
  <c r="C43" i="25"/>
  <c r="I43" i="25" s="1"/>
  <c r="P123" i="32"/>
  <c r="P122" i="32"/>
  <c r="T123" i="32"/>
  <c r="L123" i="32" s="1"/>
  <c r="U123" i="32" s="1"/>
  <c r="T122" i="32"/>
  <c r="R122" i="32"/>
  <c r="P120" i="32"/>
  <c r="P119" i="32"/>
  <c r="R120" i="32"/>
  <c r="H120" i="32" s="1"/>
  <c r="S120" i="32" s="1"/>
  <c r="T120" i="32"/>
  <c r="L120" i="32" s="1"/>
  <c r="U120" i="32" s="1"/>
  <c r="C21" i="25"/>
  <c r="I21" i="25" s="1"/>
  <c r="C23" i="25"/>
  <c r="I23" i="25" s="1"/>
  <c r="C18" i="25"/>
  <c r="I18" i="25" s="1"/>
  <c r="C17" i="25"/>
  <c r="I17" i="25" s="1"/>
  <c r="C15" i="25"/>
  <c r="I15" i="25" s="1"/>
  <c r="R119" i="32"/>
  <c r="T119" i="32"/>
  <c r="P93" i="32"/>
  <c r="R92" i="32"/>
  <c r="P92" i="32"/>
  <c r="R93" i="32"/>
  <c r="H93" i="32" s="1"/>
  <c r="S93" i="32" s="1"/>
  <c r="T93" i="32"/>
  <c r="L93" i="32" s="1"/>
  <c r="U93" i="32" s="1"/>
  <c r="T92" i="32"/>
  <c r="R89" i="32"/>
  <c r="H89" i="32" s="1"/>
  <c r="S89" i="32" s="1"/>
  <c r="T89" i="32"/>
  <c r="L89" i="32" s="1"/>
  <c r="U89" i="32" s="1"/>
  <c r="P89" i="32"/>
  <c r="D48" i="34"/>
  <c r="E48" i="34"/>
  <c r="P86" i="32"/>
  <c r="T83" i="32"/>
  <c r="L83" i="32" s="1"/>
  <c r="U83" i="32" s="1"/>
  <c r="R83" i="32"/>
  <c r="H83" i="32" s="1"/>
  <c r="S83" i="32" s="1"/>
  <c r="D94" i="17"/>
  <c r="E94" i="17"/>
  <c r="F94" i="17"/>
  <c r="R31" i="32"/>
  <c r="H31" i="32" s="1"/>
  <c r="S31" i="32" s="1"/>
  <c r="P31" i="32"/>
  <c r="P30" i="32"/>
  <c r="P26" i="32"/>
  <c r="R26" i="32"/>
  <c r="H26" i="32" s="1"/>
  <c r="S26" i="32" s="1"/>
  <c r="P25" i="32"/>
  <c r="R25" i="32"/>
  <c r="T25" i="32"/>
  <c r="P20" i="32"/>
  <c r="P62" i="32"/>
  <c r="R62" i="32"/>
  <c r="T62" i="32"/>
  <c r="C25" i="13"/>
  <c r="I25" i="13" s="1"/>
  <c r="P21" i="32"/>
  <c r="R21" i="32"/>
  <c r="H21" i="32" s="1"/>
  <c r="S21" i="32" s="1"/>
  <c r="T21" i="32"/>
  <c r="L21" i="32" s="1"/>
  <c r="U21" i="32" s="1"/>
  <c r="C15" i="14"/>
  <c r="I15" i="14" s="1"/>
  <c r="C22" i="14"/>
  <c r="I22" i="14" s="1"/>
  <c r="C90" i="28"/>
  <c r="T136" i="32"/>
  <c r="L136" i="32" s="1"/>
  <c r="U136" i="32" s="1"/>
  <c r="R136" i="32"/>
  <c r="H136" i="32" s="1"/>
  <c r="S136" i="32" s="1"/>
  <c r="C64" i="28"/>
  <c r="I64" i="28" s="1"/>
  <c r="C80" i="28"/>
  <c r="I80" i="28" s="1"/>
  <c r="C79" i="28"/>
  <c r="I79" i="28" s="1"/>
  <c r="C29" i="28"/>
  <c r="I29" i="28" s="1"/>
  <c r="C26" i="28"/>
  <c r="I26" i="28" s="1"/>
  <c r="C25" i="28"/>
  <c r="I25" i="28" s="1"/>
  <c r="C28" i="28"/>
  <c r="I28" i="28" s="1"/>
  <c r="C82" i="28"/>
  <c r="I82" i="28" s="1"/>
  <c r="C76" i="28"/>
  <c r="I76" i="28" s="1"/>
  <c r="C19" i="28"/>
  <c r="I19" i="28" s="1"/>
  <c r="C18" i="28"/>
  <c r="I18" i="28" s="1"/>
  <c r="C75" i="28"/>
  <c r="I75" i="28" s="1"/>
  <c r="C74" i="28"/>
  <c r="I74" i="28" s="1"/>
  <c r="C17" i="28"/>
  <c r="I17" i="28" s="1"/>
  <c r="C70" i="28"/>
  <c r="I70" i="28" s="1"/>
  <c r="C15" i="28"/>
  <c r="C10" i="28"/>
  <c r="C8" i="28"/>
  <c r="C48" i="22"/>
  <c r="C47" i="22"/>
  <c r="F46" i="22"/>
  <c r="E46" i="22"/>
  <c r="D46" i="22"/>
  <c r="C45" i="22"/>
  <c r="C44" i="22"/>
  <c r="C43" i="22"/>
  <c r="C42" i="22"/>
  <c r="C41" i="22"/>
  <c r="C40" i="22"/>
  <c r="C39" i="22"/>
  <c r="C38" i="22"/>
  <c r="C37" i="22"/>
  <c r="C36" i="22"/>
  <c r="C35" i="22"/>
  <c r="F34" i="22"/>
  <c r="E34" i="22"/>
  <c r="D34" i="22"/>
  <c r="C33" i="22"/>
  <c r="C32" i="22"/>
  <c r="C31" i="22"/>
  <c r="C30" i="22"/>
  <c r="C29" i="22"/>
  <c r="C28" i="22"/>
  <c r="C27" i="22"/>
  <c r="C26" i="22"/>
  <c r="F25" i="22"/>
  <c r="E25" i="22"/>
  <c r="D25" i="22"/>
  <c r="C24" i="22"/>
  <c r="C23" i="22"/>
  <c r="C22" i="22"/>
  <c r="F21" i="22"/>
  <c r="E21" i="22"/>
  <c r="E18" i="22" s="1"/>
  <c r="D21" i="22"/>
  <c r="C17" i="22"/>
  <c r="C16" i="22"/>
  <c r="C15" i="22"/>
  <c r="C11" i="22" s="1"/>
  <c r="C14" i="22"/>
  <c r="C13" i="22"/>
  <c r="F11" i="22"/>
  <c r="E11" i="22"/>
  <c r="D11" i="22"/>
  <c r="C10" i="22"/>
  <c r="C8" i="22"/>
  <c r="C22" i="15"/>
  <c r="I22" i="15" s="1"/>
  <c r="T125" i="32"/>
  <c r="I15" i="28" l="1"/>
  <c r="C169" i="28"/>
  <c r="I48" i="12"/>
  <c r="C42" i="12"/>
  <c r="I17" i="12"/>
  <c r="C11" i="12"/>
  <c r="I90" i="28"/>
  <c r="I38" i="29"/>
  <c r="B32" i="34"/>
  <c r="T65" i="32"/>
  <c r="L65" i="32" s="1"/>
  <c r="U65" i="32" s="1"/>
  <c r="R65" i="32"/>
  <c r="H65" i="32" s="1"/>
  <c r="S65" i="32" s="1"/>
  <c r="P65" i="32"/>
  <c r="P48" i="32"/>
  <c r="F48" i="32" s="1"/>
  <c r="R56" i="32"/>
  <c r="H56" i="32" s="1"/>
  <c r="S56" i="32" s="1"/>
  <c r="D34" i="34"/>
  <c r="E98" i="16"/>
  <c r="T48" i="32"/>
  <c r="O48" i="32" s="1"/>
  <c r="T56" i="32"/>
  <c r="L56" i="32" s="1"/>
  <c r="E34" i="34"/>
  <c r="F98" i="16"/>
  <c r="P49" i="32"/>
  <c r="R49" i="32"/>
  <c r="H49" i="32" s="1"/>
  <c r="S49" i="32" s="1"/>
  <c r="R48" i="32"/>
  <c r="K48" i="32" s="1"/>
  <c r="S48" i="32" s="1"/>
  <c r="C35" i="34"/>
  <c r="C34" i="34" s="1"/>
  <c r="T49" i="32"/>
  <c r="L49" i="32" s="1"/>
  <c r="U49" i="32" s="1"/>
  <c r="E47" i="34"/>
  <c r="E44" i="34" s="1"/>
  <c r="D47" i="34"/>
  <c r="D44" i="34" s="1"/>
  <c r="B48" i="34"/>
  <c r="T86" i="32"/>
  <c r="L86" i="32" s="1"/>
  <c r="U86" i="32" s="1"/>
  <c r="F39" i="24"/>
  <c r="R86" i="32"/>
  <c r="H86" i="32" s="1"/>
  <c r="S86" i="32" s="1"/>
  <c r="E39" i="24"/>
  <c r="E37" i="24" s="1"/>
  <c r="R52" i="32"/>
  <c r="T52" i="32"/>
  <c r="L52" i="32" s="1"/>
  <c r="U52" i="32" s="1"/>
  <c r="P56" i="32"/>
  <c r="P90" i="32"/>
  <c r="D90" i="32" s="1"/>
  <c r="T82" i="32"/>
  <c r="O82" i="32" s="1"/>
  <c r="E10" i="31"/>
  <c r="R82" i="32"/>
  <c r="K82" i="32" s="1"/>
  <c r="D10" i="31"/>
  <c r="P82" i="32"/>
  <c r="F82" i="32" s="1"/>
  <c r="T10" i="32"/>
  <c r="T9" i="32" s="1"/>
  <c r="P131" i="32"/>
  <c r="F131" i="32" s="1"/>
  <c r="T131" i="32"/>
  <c r="O131" i="32" s="1"/>
  <c r="R131" i="32"/>
  <c r="K131" i="32" s="1"/>
  <c r="S131" i="32" s="1"/>
  <c r="H137" i="32"/>
  <c r="R154" i="32"/>
  <c r="B135" i="32"/>
  <c r="F135" i="32"/>
  <c r="D133" i="32"/>
  <c r="B133" i="32"/>
  <c r="O135" i="32"/>
  <c r="T134" i="32"/>
  <c r="U134" i="32" s="1"/>
  <c r="D137" i="32"/>
  <c r="B137" i="32"/>
  <c r="P154" i="32"/>
  <c r="C247" i="31"/>
  <c r="P136" i="32"/>
  <c r="P134" i="32" s="1"/>
  <c r="K135" i="32"/>
  <c r="S135" i="32" s="1"/>
  <c r="R134" i="32"/>
  <c r="S134" i="32" s="1"/>
  <c r="L137" i="32"/>
  <c r="T154" i="32"/>
  <c r="P168" i="32"/>
  <c r="V127" i="32"/>
  <c r="B167" i="32"/>
  <c r="B141" i="32"/>
  <c r="V141" i="32" s="1"/>
  <c r="R168" i="32"/>
  <c r="T168" i="32"/>
  <c r="B141" i="30"/>
  <c r="B163" i="30" s="1"/>
  <c r="O125" i="32"/>
  <c r="T124" i="32"/>
  <c r="U124" i="32" s="1"/>
  <c r="B125" i="32"/>
  <c r="K119" i="32"/>
  <c r="S119" i="32" s="1"/>
  <c r="R118" i="32"/>
  <c r="K122" i="32"/>
  <c r="S122" i="32" s="1"/>
  <c r="D123" i="32"/>
  <c r="D126" i="32"/>
  <c r="P124" i="32"/>
  <c r="B126" i="32"/>
  <c r="O122" i="32"/>
  <c r="T121" i="32"/>
  <c r="U121" i="32" s="1"/>
  <c r="P118" i="32"/>
  <c r="B119" i="32"/>
  <c r="F119" i="32"/>
  <c r="E164" i="32"/>
  <c r="G159" i="32"/>
  <c r="I150" i="32"/>
  <c r="U127" i="32"/>
  <c r="L158" i="32"/>
  <c r="O159" i="32" s="1"/>
  <c r="O119" i="32"/>
  <c r="T118" i="32"/>
  <c r="D120" i="32"/>
  <c r="B120" i="32"/>
  <c r="F122" i="32"/>
  <c r="B122" i="32"/>
  <c r="P121" i="32"/>
  <c r="H126" i="32"/>
  <c r="S126" i="32" s="1"/>
  <c r="R124" i="32"/>
  <c r="S124" i="32" s="1"/>
  <c r="C127" i="32"/>
  <c r="B145" i="32" s="1"/>
  <c r="D98" i="32"/>
  <c r="B98" i="32"/>
  <c r="B100" i="32"/>
  <c r="F100" i="32"/>
  <c r="P99" i="32"/>
  <c r="K97" i="32"/>
  <c r="R96" i="32"/>
  <c r="O97" i="32"/>
  <c r="T96" i="32"/>
  <c r="O100" i="32"/>
  <c r="T99" i="32"/>
  <c r="U99" i="32" s="1"/>
  <c r="P96" i="32"/>
  <c r="F97" i="32"/>
  <c r="B97" i="32"/>
  <c r="B101" i="32"/>
  <c r="D101" i="32"/>
  <c r="K100" i="32"/>
  <c r="S100" i="32" s="1"/>
  <c r="R99" i="32"/>
  <c r="S99" i="32" s="1"/>
  <c r="R85" i="32"/>
  <c r="B89" i="32"/>
  <c r="D89" i="32"/>
  <c r="P88" i="32"/>
  <c r="P91" i="32"/>
  <c r="F92" i="32"/>
  <c r="B92" i="32"/>
  <c r="P85" i="32"/>
  <c r="D86" i="32"/>
  <c r="T88" i="32"/>
  <c r="K92" i="32"/>
  <c r="S92" i="32" s="1"/>
  <c r="R91" i="32"/>
  <c r="S91" i="32" s="1"/>
  <c r="L90" i="32"/>
  <c r="T155" i="32"/>
  <c r="T85" i="32"/>
  <c r="R88" i="32"/>
  <c r="O92" i="32"/>
  <c r="T91" i="32"/>
  <c r="U91" i="32" s="1"/>
  <c r="B93" i="32"/>
  <c r="D93" i="32"/>
  <c r="B62" i="32"/>
  <c r="D62" i="32"/>
  <c r="H62" i="32"/>
  <c r="S62" i="32" s="1"/>
  <c r="L62" i="32"/>
  <c r="U62" i="32" s="1"/>
  <c r="H57" i="32"/>
  <c r="R155" i="32"/>
  <c r="B57" i="32"/>
  <c r="B55" i="32"/>
  <c r="F55" i="32"/>
  <c r="R54" i="32"/>
  <c r="S54" i="32" s="1"/>
  <c r="K55" i="32"/>
  <c r="S55" i="32" s="1"/>
  <c r="O55" i="32"/>
  <c r="T54" i="32"/>
  <c r="U54" i="32" s="1"/>
  <c r="K51" i="32"/>
  <c r="S51" i="32" s="1"/>
  <c r="R50" i="32"/>
  <c r="S50" i="32" s="1"/>
  <c r="O51" i="32"/>
  <c r="T50" i="32"/>
  <c r="U50" i="32" s="1"/>
  <c r="B51" i="32"/>
  <c r="P50" i="32"/>
  <c r="F51" i="32"/>
  <c r="B46" i="32"/>
  <c r="D46" i="32"/>
  <c r="K45" i="32"/>
  <c r="S45" i="32" s="1"/>
  <c r="R44" i="32"/>
  <c r="P44" i="32"/>
  <c r="F45" i="32"/>
  <c r="B45" i="32"/>
  <c r="O45" i="32"/>
  <c r="T44" i="32"/>
  <c r="D31" i="32"/>
  <c r="F30" i="32"/>
  <c r="P29" i="32"/>
  <c r="D26" i="32"/>
  <c r="K25" i="32"/>
  <c r="S25" i="32" s="1"/>
  <c r="R24" i="32"/>
  <c r="B25" i="32"/>
  <c r="P24" i="32"/>
  <c r="F25" i="32"/>
  <c r="O25" i="32"/>
  <c r="U25" i="32" s="1"/>
  <c r="D21" i="32"/>
  <c r="B21" i="32"/>
  <c r="F20" i="32"/>
  <c r="P19" i="32"/>
  <c r="R10" i="32"/>
  <c r="T12" i="32"/>
  <c r="U12" i="32" s="1"/>
  <c r="P12" i="32"/>
  <c r="R12" i="32"/>
  <c r="S12" i="32" s="1"/>
  <c r="P9" i="32"/>
  <c r="F10" i="32"/>
  <c r="E9" i="22"/>
  <c r="E7" i="22" s="1"/>
  <c r="E49" i="22" s="1"/>
  <c r="E51" i="22" s="1"/>
  <c r="F18" i="22"/>
  <c r="F9" i="22" s="1"/>
  <c r="F7" i="22" s="1"/>
  <c r="F49" i="22" s="1"/>
  <c r="F51" i="22" s="1"/>
  <c r="C25" i="22"/>
  <c r="C46" i="22"/>
  <c r="E125" i="30"/>
  <c r="D18" i="22"/>
  <c r="D21" i="30"/>
  <c r="D62" i="30"/>
  <c r="D147" i="31"/>
  <c r="C25" i="30"/>
  <c r="C98" i="31"/>
  <c r="C31" i="30"/>
  <c r="C65" i="30"/>
  <c r="C150" i="31"/>
  <c r="C82" i="30"/>
  <c r="E83" i="30"/>
  <c r="E173" i="31"/>
  <c r="E89" i="30"/>
  <c r="E177" i="31"/>
  <c r="C92" i="30"/>
  <c r="D119" i="30"/>
  <c r="C122" i="30"/>
  <c r="D126" i="30"/>
  <c r="D124" i="30" s="1"/>
  <c r="E131" i="30"/>
  <c r="C135" i="30"/>
  <c r="C90" i="30"/>
  <c r="C152" i="30" s="1"/>
  <c r="C178" i="31"/>
  <c r="C97" i="30"/>
  <c r="C101" i="30"/>
  <c r="D100" i="30"/>
  <c r="E45" i="30"/>
  <c r="C122" i="31"/>
  <c r="C48" i="30"/>
  <c r="D123" i="31"/>
  <c r="D49" i="30"/>
  <c r="E51" i="30"/>
  <c r="D55" i="30"/>
  <c r="E10" i="30"/>
  <c r="C59" i="12"/>
  <c r="I59" i="12" s="1"/>
  <c r="B35" i="31"/>
  <c r="D15" i="30"/>
  <c r="D13" i="30"/>
  <c r="C120" i="31"/>
  <c r="C46" i="30"/>
  <c r="C34" i="22"/>
  <c r="C54" i="31"/>
  <c r="C53" i="31" s="1"/>
  <c r="C52" i="31" s="1"/>
  <c r="C21" i="30"/>
  <c r="C62" i="30"/>
  <c r="C147" i="31"/>
  <c r="C20" i="30"/>
  <c r="D98" i="31"/>
  <c r="D31" i="30"/>
  <c r="E82" i="30"/>
  <c r="D92" i="30"/>
  <c r="E219" i="31"/>
  <c r="E218" i="31" s="1"/>
  <c r="E217" i="31" s="1"/>
  <c r="E228" i="31" s="1"/>
  <c r="E120" i="30"/>
  <c r="D122" i="30"/>
  <c r="D131" i="30"/>
  <c r="C133" i="30"/>
  <c r="E135" i="30"/>
  <c r="C137" i="30"/>
  <c r="C248" i="31"/>
  <c r="D90" i="30"/>
  <c r="D178" i="31"/>
  <c r="D97" i="30"/>
  <c r="C98" i="30"/>
  <c r="C196" i="31"/>
  <c r="C195" i="31" s="1"/>
  <c r="C100" i="30"/>
  <c r="D45" i="30"/>
  <c r="B129" i="31"/>
  <c r="D57" i="30"/>
  <c r="B57" i="30" s="1"/>
  <c r="D122" i="31"/>
  <c r="D48" i="30"/>
  <c r="E123" i="31"/>
  <c r="E49" i="30"/>
  <c r="C125" i="31"/>
  <c r="C124" i="31" s="1"/>
  <c r="C52" i="30"/>
  <c r="E55" i="30"/>
  <c r="D10" i="30"/>
  <c r="C10" i="30"/>
  <c r="E13" i="30"/>
  <c r="E120" i="31"/>
  <c r="E46" i="30"/>
  <c r="C102" i="16"/>
  <c r="C128" i="31"/>
  <c r="C56" i="30"/>
  <c r="E136" i="30"/>
  <c r="E247" i="31"/>
  <c r="E25" i="30"/>
  <c r="E65" i="30"/>
  <c r="E150" i="31"/>
  <c r="D82" i="30"/>
  <c r="E86" i="30"/>
  <c r="E175" i="31"/>
  <c r="E92" i="30"/>
  <c r="D219" i="31"/>
  <c r="D218" i="31" s="1"/>
  <c r="D217" i="31" s="1"/>
  <c r="D228" i="31" s="1"/>
  <c r="D120" i="30"/>
  <c r="E122" i="30"/>
  <c r="E133" i="30"/>
  <c r="D135" i="30"/>
  <c r="E137" i="30"/>
  <c r="E248" i="31"/>
  <c r="E90" i="30"/>
  <c r="E178" i="31"/>
  <c r="E97" i="30"/>
  <c r="D98" i="30"/>
  <c r="D196" i="31"/>
  <c r="E101" i="30"/>
  <c r="F7" i="16"/>
  <c r="F23" i="16" s="1"/>
  <c r="F27" i="16" s="1"/>
  <c r="F29" i="16" s="1"/>
  <c r="E122" i="31"/>
  <c r="E48" i="30"/>
  <c r="C51" i="30"/>
  <c r="D125" i="31"/>
  <c r="D52" i="30"/>
  <c r="D128" i="31"/>
  <c r="D56" i="30"/>
  <c r="C45" i="30"/>
  <c r="D120" i="31"/>
  <c r="D46" i="30"/>
  <c r="C21" i="22"/>
  <c r="E21" i="30"/>
  <c r="E62" i="30"/>
  <c r="E147" i="31"/>
  <c r="D25" i="30"/>
  <c r="C30" i="30"/>
  <c r="D65" i="30"/>
  <c r="D150" i="31"/>
  <c r="C83" i="30"/>
  <c r="E119" i="30"/>
  <c r="C119" i="30"/>
  <c r="E123" i="30"/>
  <c r="E126" i="30"/>
  <c r="C131" i="30"/>
  <c r="D133" i="30"/>
  <c r="D137" i="30"/>
  <c r="D248" i="31"/>
  <c r="E98" i="30"/>
  <c r="E196" i="31"/>
  <c r="D101" i="30"/>
  <c r="E100" i="30"/>
  <c r="E7" i="16"/>
  <c r="C123" i="31"/>
  <c r="C49" i="30"/>
  <c r="D51" i="30"/>
  <c r="E125" i="31"/>
  <c r="E52" i="30"/>
  <c r="C55" i="30"/>
  <c r="E128" i="31"/>
  <c r="E56" i="30"/>
  <c r="C13" i="30"/>
  <c r="C11" i="16"/>
  <c r="E93" i="30"/>
  <c r="E180" i="31"/>
  <c r="C93" i="30"/>
  <c r="C180" i="31"/>
  <c r="D93" i="30"/>
  <c r="D180" i="31"/>
  <c r="C89" i="30"/>
  <c r="C177" i="31"/>
  <c r="C86" i="30"/>
  <c r="C175" i="31"/>
  <c r="D86" i="30"/>
  <c r="D175" i="31"/>
  <c r="D83" i="30"/>
  <c r="D173" i="31"/>
  <c r="D89" i="30"/>
  <c r="D177" i="31"/>
  <c r="D76" i="31"/>
  <c r="D26" i="30"/>
  <c r="C26" i="30"/>
  <c r="C126" i="30"/>
  <c r="C123" i="30"/>
  <c r="C219" i="31"/>
  <c r="C120" i="30"/>
  <c r="D136" i="30"/>
  <c r="D247" i="31"/>
  <c r="E85" i="30"/>
  <c r="D85" i="30"/>
  <c r="D37" i="24"/>
  <c r="C85" i="30"/>
  <c r="C88" i="30"/>
  <c r="E88" i="30"/>
  <c r="D88" i="30"/>
  <c r="C65" i="28"/>
  <c r="C136" i="30"/>
  <c r="C66" i="12"/>
  <c r="I66" i="12" s="1"/>
  <c r="I68" i="16"/>
  <c r="F7" i="24"/>
  <c r="E7" i="24"/>
  <c r="F7" i="25"/>
  <c r="E7" i="25"/>
  <c r="C62" i="29"/>
  <c r="H62" i="29" s="1"/>
  <c r="E7" i="29"/>
  <c r="E41" i="29" s="1"/>
  <c r="E45" i="29" s="1"/>
  <c r="E48" i="29" s="1"/>
  <c r="F98" i="29"/>
  <c r="F101" i="29" s="1"/>
  <c r="F7" i="29"/>
  <c r="F41" i="29" s="1"/>
  <c r="F45" i="29" s="1"/>
  <c r="F48" i="29" s="1"/>
  <c r="C87" i="28"/>
  <c r="R123" i="32"/>
  <c r="H123" i="32" s="1"/>
  <c r="S123" i="32" s="1"/>
  <c r="C11" i="25"/>
  <c r="C41" i="24"/>
  <c r="I41" i="24" s="1"/>
  <c r="C66" i="24"/>
  <c r="C15" i="24"/>
  <c r="I15" i="24" s="1"/>
  <c r="C17" i="24"/>
  <c r="I17" i="24" s="1"/>
  <c r="C18" i="24"/>
  <c r="I18" i="24" s="1"/>
  <c r="C19" i="24"/>
  <c r="I19" i="24" s="1"/>
  <c r="C23" i="24"/>
  <c r="I23" i="24" s="1"/>
  <c r="C24" i="24"/>
  <c r="I24" i="24" s="1"/>
  <c r="C22" i="24"/>
  <c r="I22" i="24" s="1"/>
  <c r="C25" i="24"/>
  <c r="I25" i="24" s="1"/>
  <c r="C26" i="24"/>
  <c r="I26" i="24" s="1"/>
  <c r="C45" i="24"/>
  <c r="I45" i="24" s="1"/>
  <c r="C70" i="24"/>
  <c r="I70" i="24" s="1"/>
  <c r="C71" i="24"/>
  <c r="I71" i="24" s="1"/>
  <c r="C73" i="24"/>
  <c r="I73" i="24" s="1"/>
  <c r="C96" i="24"/>
  <c r="I96" i="24" s="1"/>
  <c r="C98" i="24"/>
  <c r="I98" i="24" s="1"/>
  <c r="C99" i="24"/>
  <c r="I99" i="24" s="1"/>
  <c r="C107" i="24"/>
  <c r="I107" i="24" s="1"/>
  <c r="C104" i="24"/>
  <c r="I104" i="24" s="1"/>
  <c r="C105" i="24"/>
  <c r="I105" i="24" s="1"/>
  <c r="C91" i="25" l="1"/>
  <c r="F37" i="24"/>
  <c r="H39" i="24"/>
  <c r="C128" i="16"/>
  <c r="D130" i="16" s="1"/>
  <c r="E23" i="16"/>
  <c r="E27" i="16" s="1"/>
  <c r="E29" i="16" s="1"/>
  <c r="C7" i="16"/>
  <c r="I62" i="29"/>
  <c r="H103" i="29"/>
  <c r="I104" i="29" s="1"/>
  <c r="I65" i="28"/>
  <c r="C177" i="28"/>
  <c r="I66" i="25"/>
  <c r="I50" i="29"/>
  <c r="F118" i="16"/>
  <c r="F122" i="16" s="1"/>
  <c r="F125" i="16" s="1"/>
  <c r="E118" i="16"/>
  <c r="E122" i="16" s="1"/>
  <c r="E125" i="16" s="1"/>
  <c r="B65" i="32"/>
  <c r="D65" i="32"/>
  <c r="Q65" i="32" s="1"/>
  <c r="F35" i="16"/>
  <c r="F53" i="16" s="1"/>
  <c r="E35" i="16"/>
  <c r="E53" i="16" s="1"/>
  <c r="P47" i="32"/>
  <c r="Q47" i="32" s="1"/>
  <c r="B48" i="32"/>
  <c r="B219" i="31"/>
  <c r="C218" i="31"/>
  <c r="B44" i="34"/>
  <c r="H44" i="34" s="1"/>
  <c r="B40" i="34"/>
  <c r="D49" i="32"/>
  <c r="C49" i="32" s="1"/>
  <c r="E29" i="34"/>
  <c r="B52" i="32"/>
  <c r="R47" i="32"/>
  <c r="S47" i="32" s="1"/>
  <c r="H52" i="32"/>
  <c r="C52" i="32" s="1"/>
  <c r="B35" i="34"/>
  <c r="B49" i="32"/>
  <c r="T47" i="32"/>
  <c r="U47" i="32" s="1"/>
  <c r="B56" i="32"/>
  <c r="B30" i="34"/>
  <c r="B47" i="34"/>
  <c r="C39" i="24"/>
  <c r="B86" i="32"/>
  <c r="V86" i="32" s="1"/>
  <c r="T81" i="32"/>
  <c r="U81" i="32" s="1"/>
  <c r="D8" i="31"/>
  <c r="E23" i="33"/>
  <c r="E8" i="31"/>
  <c r="F23" i="33"/>
  <c r="E246" i="31"/>
  <c r="B248" i="31"/>
  <c r="C246" i="31"/>
  <c r="G250" i="31" s="1"/>
  <c r="D246" i="31"/>
  <c r="B247" i="31"/>
  <c r="P54" i="32"/>
  <c r="Q54" i="32" s="1"/>
  <c r="C9" i="29"/>
  <c r="C63" i="28"/>
  <c r="I63" i="28" s="1"/>
  <c r="C9" i="28"/>
  <c r="D7" i="25"/>
  <c r="C7" i="25" s="1"/>
  <c r="D56" i="32"/>
  <c r="C56" i="32" s="1"/>
  <c r="E47" i="30"/>
  <c r="D98" i="16"/>
  <c r="C100" i="16"/>
  <c r="D23" i="16"/>
  <c r="C9" i="16"/>
  <c r="B90" i="32"/>
  <c r="V90" i="32" s="1"/>
  <c r="P155" i="32"/>
  <c r="C99" i="30"/>
  <c r="R81" i="32"/>
  <c r="S81" i="32" s="1"/>
  <c r="O10" i="32"/>
  <c r="U10" i="32" s="1"/>
  <c r="B10" i="32"/>
  <c r="E121" i="31"/>
  <c r="C96" i="30"/>
  <c r="B82" i="32"/>
  <c r="C10" i="31"/>
  <c r="C151" i="30"/>
  <c r="D151" i="30" s="1"/>
  <c r="B131" i="32"/>
  <c r="B135" i="30"/>
  <c r="B133" i="30"/>
  <c r="C244" i="31"/>
  <c r="P132" i="32"/>
  <c r="U137" i="32"/>
  <c r="L154" i="32"/>
  <c r="D244" i="31"/>
  <c r="D243" i="31" s="1"/>
  <c r="R132" i="32"/>
  <c r="Q131" i="32"/>
  <c r="L131" i="32" s="1"/>
  <c r="U131" i="32" s="1"/>
  <c r="V137" i="32"/>
  <c r="B154" i="32"/>
  <c r="V133" i="32"/>
  <c r="Q134" i="32"/>
  <c r="B134" i="32"/>
  <c r="V134" i="32" s="1"/>
  <c r="S137" i="32"/>
  <c r="H154" i="32"/>
  <c r="E244" i="31"/>
  <c r="E243" i="31" s="1"/>
  <c r="T132" i="32"/>
  <c r="D136" i="32"/>
  <c r="B136" i="32"/>
  <c r="C137" i="32"/>
  <c r="Q137" i="32"/>
  <c r="D154" i="32"/>
  <c r="C133" i="32"/>
  <c r="Q133" i="32"/>
  <c r="Q135" i="32"/>
  <c r="L135" i="32" s="1"/>
  <c r="U135" i="32" s="1"/>
  <c r="B168" i="32"/>
  <c r="E118" i="30"/>
  <c r="R121" i="32"/>
  <c r="S121" i="32" s="1"/>
  <c r="V125" i="32"/>
  <c r="V120" i="32"/>
  <c r="U118" i="32"/>
  <c r="T117" i="32"/>
  <c r="U117" i="32" s="1"/>
  <c r="V126" i="32"/>
  <c r="B123" i="32"/>
  <c r="V123" i="32" s="1"/>
  <c r="B118" i="32"/>
  <c r="V118" i="32" s="1"/>
  <c r="Q118" i="32"/>
  <c r="P117" i="32"/>
  <c r="C126" i="32"/>
  <c r="Q126" i="32"/>
  <c r="Q122" i="32"/>
  <c r="L122" i="32" s="1"/>
  <c r="U122" i="32" s="1"/>
  <c r="B124" i="32"/>
  <c r="V124" i="32" s="1"/>
  <c r="Q124" i="32"/>
  <c r="Q121" i="32"/>
  <c r="C120" i="32"/>
  <c r="Q120" i="32"/>
  <c r="Q119" i="32"/>
  <c r="L119" i="32" s="1"/>
  <c r="U119" i="32" s="1"/>
  <c r="C123" i="32"/>
  <c r="Q123" i="32"/>
  <c r="S118" i="32"/>
  <c r="U125" i="32"/>
  <c r="C125" i="32"/>
  <c r="V101" i="32"/>
  <c r="B97" i="30"/>
  <c r="E99" i="30"/>
  <c r="E96" i="30"/>
  <c r="S97" i="32"/>
  <c r="Q100" i="32"/>
  <c r="L100" i="32" s="1"/>
  <c r="U100" i="32" s="1"/>
  <c r="S96" i="32"/>
  <c r="R95" i="32"/>
  <c r="S95" i="32" s="1"/>
  <c r="Q97" i="32"/>
  <c r="L97" i="32" s="1"/>
  <c r="U97" i="32" s="1"/>
  <c r="V98" i="32"/>
  <c r="C101" i="32"/>
  <c r="Q101" i="32"/>
  <c r="P95" i="32"/>
  <c r="B96" i="32"/>
  <c r="V96" i="32" s="1"/>
  <c r="Q96" i="32"/>
  <c r="U96" i="32"/>
  <c r="T95" i="32"/>
  <c r="U95" i="32" s="1"/>
  <c r="B99" i="32"/>
  <c r="V99" i="32" s="1"/>
  <c r="Q99" i="32"/>
  <c r="C98" i="32"/>
  <c r="Q98" i="32"/>
  <c r="C91" i="30"/>
  <c r="C174" i="31"/>
  <c r="D91" i="30"/>
  <c r="C179" i="31"/>
  <c r="B92" i="30"/>
  <c r="E87" i="30"/>
  <c r="V93" i="32"/>
  <c r="V89" i="32"/>
  <c r="C176" i="31"/>
  <c r="E91" i="30"/>
  <c r="B90" i="30"/>
  <c r="D81" i="30"/>
  <c r="E174" i="31"/>
  <c r="F88" i="32"/>
  <c r="P87" i="32"/>
  <c r="B88" i="32"/>
  <c r="Q82" i="32"/>
  <c r="L82" i="32" s="1"/>
  <c r="U82" i="32" s="1"/>
  <c r="C89" i="32"/>
  <c r="Q89" i="32"/>
  <c r="O88" i="32"/>
  <c r="T87" i="32"/>
  <c r="U87" i="32" s="1"/>
  <c r="B82" i="30"/>
  <c r="U90" i="32"/>
  <c r="L155" i="32"/>
  <c r="S82" i="32"/>
  <c r="Q92" i="32"/>
  <c r="L92" i="32" s="1"/>
  <c r="U92" i="32" s="1"/>
  <c r="C90" i="32"/>
  <c r="Q90" i="32"/>
  <c r="D155" i="32"/>
  <c r="K85" i="32"/>
  <c r="S85" i="32" s="1"/>
  <c r="R84" i="32"/>
  <c r="S84" i="32" s="1"/>
  <c r="C173" i="31"/>
  <c r="C172" i="31" s="1"/>
  <c r="P83" i="32"/>
  <c r="C93" i="32"/>
  <c r="Q93" i="32"/>
  <c r="K88" i="32"/>
  <c r="R87" i="32"/>
  <c r="S87" i="32" s="1"/>
  <c r="O85" i="32"/>
  <c r="T84" i="32"/>
  <c r="U84" i="32" s="1"/>
  <c r="C86" i="32"/>
  <c r="Q86" i="32"/>
  <c r="B85" i="32"/>
  <c r="P84" i="32"/>
  <c r="F85" i="32"/>
  <c r="Q91" i="32"/>
  <c r="B91" i="32"/>
  <c r="V91" i="32" s="1"/>
  <c r="B65" i="30"/>
  <c r="C65" i="32"/>
  <c r="C62" i="32"/>
  <c r="Q62" i="32"/>
  <c r="B62" i="30"/>
  <c r="V62" i="32"/>
  <c r="D47" i="30"/>
  <c r="B49" i="30"/>
  <c r="V57" i="32"/>
  <c r="S57" i="32"/>
  <c r="H155" i="32"/>
  <c r="C57" i="32"/>
  <c r="Q55" i="32"/>
  <c r="L55" i="32" s="1"/>
  <c r="U55" i="32" s="1"/>
  <c r="D50" i="30"/>
  <c r="D124" i="31"/>
  <c r="Q51" i="32"/>
  <c r="L51" i="32" s="1"/>
  <c r="U51" i="32" s="1"/>
  <c r="Q50" i="32"/>
  <c r="B50" i="32"/>
  <c r="V50" i="32" s="1"/>
  <c r="D121" i="31"/>
  <c r="B123" i="31"/>
  <c r="Q48" i="32"/>
  <c r="L48" i="32" s="1"/>
  <c r="U48" i="32" s="1"/>
  <c r="C46" i="32"/>
  <c r="Q46" i="32"/>
  <c r="V46" i="32"/>
  <c r="S44" i="32"/>
  <c r="Q45" i="32"/>
  <c r="L45" i="32" s="1"/>
  <c r="U45" i="32" s="1"/>
  <c r="U44" i="32"/>
  <c r="B44" i="32"/>
  <c r="V44" i="32" s="1"/>
  <c r="Q44" i="32"/>
  <c r="Q31" i="32"/>
  <c r="Q30" i="32"/>
  <c r="Q29" i="32"/>
  <c r="P28" i="32"/>
  <c r="V25" i="32"/>
  <c r="Q26" i="32"/>
  <c r="D24" i="30"/>
  <c r="D23" i="30" s="1"/>
  <c r="Q24" i="32"/>
  <c r="P23" i="32"/>
  <c r="D75" i="31"/>
  <c r="D74" i="31" s="1"/>
  <c r="D77" i="31" s="1"/>
  <c r="R23" i="32"/>
  <c r="S23" i="32" s="1"/>
  <c r="S24" i="32"/>
  <c r="C25" i="32"/>
  <c r="Q25" i="32"/>
  <c r="V21" i="32"/>
  <c r="C21" i="32"/>
  <c r="Q21" i="32"/>
  <c r="P18" i="32"/>
  <c r="Q19" i="32"/>
  <c r="Q20" i="32"/>
  <c r="K10" i="32"/>
  <c r="R9" i="32"/>
  <c r="R8" i="32" s="1"/>
  <c r="E9" i="30"/>
  <c r="T8" i="32"/>
  <c r="Q12" i="32"/>
  <c r="B12" i="32"/>
  <c r="V12" i="32" s="1"/>
  <c r="B10" i="30"/>
  <c r="Q10" i="32"/>
  <c r="P8" i="32"/>
  <c r="C81" i="30"/>
  <c r="B98" i="30"/>
  <c r="B100" i="30"/>
  <c r="D96" i="30"/>
  <c r="B101" i="30"/>
  <c r="C9" i="30"/>
  <c r="E81" i="30"/>
  <c r="D99" i="30"/>
  <c r="E84" i="30"/>
  <c r="E172" i="31"/>
  <c r="B131" i="30"/>
  <c r="E134" i="30"/>
  <c r="D7" i="24"/>
  <c r="D27" i="24" s="1"/>
  <c r="D31" i="24" s="1"/>
  <c r="D33" i="24" s="1"/>
  <c r="B137" i="30"/>
  <c r="D84" i="30"/>
  <c r="E179" i="31"/>
  <c r="B119" i="30"/>
  <c r="E176" i="31"/>
  <c r="D134" i="30"/>
  <c r="C127" i="31"/>
  <c r="C29" i="30"/>
  <c r="C119" i="31"/>
  <c r="E121" i="30"/>
  <c r="B128" i="31"/>
  <c r="E54" i="30"/>
  <c r="D119" i="31"/>
  <c r="B147" i="31"/>
  <c r="D127" i="31"/>
  <c r="E44" i="30"/>
  <c r="B198" i="31"/>
  <c r="B178" i="31"/>
  <c r="C18" i="22"/>
  <c r="D9" i="22"/>
  <c r="C97" i="31"/>
  <c r="C96" i="31" s="1"/>
  <c r="C50" i="30"/>
  <c r="B51" i="30"/>
  <c r="E127" i="31"/>
  <c r="D195" i="31"/>
  <c r="D194" i="31" s="1"/>
  <c r="D201" i="31" s="1"/>
  <c r="D203" i="31" s="1"/>
  <c r="B245" i="31"/>
  <c r="E50" i="30"/>
  <c r="E119" i="31"/>
  <c r="D152" i="30"/>
  <c r="B122" i="30"/>
  <c r="D123" i="30"/>
  <c r="D121" i="30" s="1"/>
  <c r="B13" i="30"/>
  <c r="C12" i="30"/>
  <c r="E195" i="31"/>
  <c r="E194" i="31" s="1"/>
  <c r="E201" i="31" s="1"/>
  <c r="E203" i="31" s="1"/>
  <c r="E12" i="30"/>
  <c r="B52" i="30"/>
  <c r="I37" i="25"/>
  <c r="C19" i="30"/>
  <c r="B21" i="30"/>
  <c r="B46" i="30"/>
  <c r="D12" i="30"/>
  <c r="B15" i="30"/>
  <c r="E124" i="31"/>
  <c r="C47" i="30"/>
  <c r="B48" i="30"/>
  <c r="C194" i="31"/>
  <c r="C201" i="31" s="1"/>
  <c r="B150" i="31"/>
  <c r="B25" i="30"/>
  <c r="B125" i="30"/>
  <c r="E124" i="30"/>
  <c r="C54" i="30"/>
  <c r="B55" i="30"/>
  <c r="C44" i="30"/>
  <c r="B45" i="30"/>
  <c r="B56" i="30"/>
  <c r="D9" i="30"/>
  <c r="B125" i="31"/>
  <c r="D44" i="30"/>
  <c r="B196" i="31"/>
  <c r="C55" i="31"/>
  <c r="B54" i="31"/>
  <c r="B120" i="31"/>
  <c r="D54" i="30"/>
  <c r="B122" i="31"/>
  <c r="C121" i="31"/>
  <c r="D118" i="30"/>
  <c r="B86" i="30"/>
  <c r="B83" i="30"/>
  <c r="B93" i="30"/>
  <c r="B180" i="31"/>
  <c r="D179" i="31"/>
  <c r="B89" i="30"/>
  <c r="B175" i="31"/>
  <c r="D174" i="31"/>
  <c r="D172" i="31"/>
  <c r="D87" i="30"/>
  <c r="D176" i="31"/>
  <c r="B177" i="31"/>
  <c r="C75" i="31"/>
  <c r="C74" i="31" s="1"/>
  <c r="C24" i="30"/>
  <c r="B126" i="30"/>
  <c r="C124" i="30"/>
  <c r="G228" i="31"/>
  <c r="C121" i="30"/>
  <c r="B120" i="30"/>
  <c r="C118" i="30"/>
  <c r="B136" i="30"/>
  <c r="C134" i="30"/>
  <c r="C84" i="30"/>
  <c r="B85" i="30"/>
  <c r="C87" i="30"/>
  <c r="B88" i="30"/>
  <c r="E98" i="29"/>
  <c r="F7" i="28"/>
  <c r="F38" i="28" s="1"/>
  <c r="E132" i="30"/>
  <c r="C132" i="30"/>
  <c r="C130" i="30" s="1"/>
  <c r="E7" i="28"/>
  <c r="E38" i="28" s="1"/>
  <c r="D132" i="30"/>
  <c r="D130" i="30" s="1"/>
  <c r="E24" i="25"/>
  <c r="E28" i="25" s="1"/>
  <c r="E34" i="25" s="1"/>
  <c r="F24" i="25"/>
  <c r="F28" i="25" s="1"/>
  <c r="F34" i="25" s="1"/>
  <c r="E61" i="28"/>
  <c r="E115" i="28" s="1"/>
  <c r="E119" i="28" s="1"/>
  <c r="E122" i="28" s="1"/>
  <c r="F61" i="28"/>
  <c r="F115" i="28" s="1"/>
  <c r="F119" i="28" s="1"/>
  <c r="F122" i="28" s="1"/>
  <c r="D61" i="28"/>
  <c r="E62" i="24"/>
  <c r="E75" i="24" s="1"/>
  <c r="E79" i="24" s="1"/>
  <c r="E82" i="24" s="1"/>
  <c r="F27" i="24"/>
  <c r="F31" i="24" s="1"/>
  <c r="F33" i="24" s="1"/>
  <c r="F62" i="24"/>
  <c r="F75" i="24" s="1"/>
  <c r="F79" i="24" s="1"/>
  <c r="F82" i="24" s="1"/>
  <c r="I39" i="24" l="1"/>
  <c r="B29" i="34"/>
  <c r="C98" i="29"/>
  <c r="C101" i="29" s="1"/>
  <c r="E101" i="29"/>
  <c r="E42" i="28"/>
  <c r="E45" i="28" s="1"/>
  <c r="F42" i="28"/>
  <c r="F45" i="28" s="1"/>
  <c r="V65" i="32"/>
  <c r="T43" i="32"/>
  <c r="U43" i="32" s="1"/>
  <c r="Q56" i="32"/>
  <c r="Q49" i="32"/>
  <c r="B218" i="31"/>
  <c r="C217" i="31"/>
  <c r="V56" i="32"/>
  <c r="V49" i="32"/>
  <c r="B155" i="32"/>
  <c r="B162" i="32" s="1"/>
  <c r="B163" i="32" s="1"/>
  <c r="B164" i="32" s="1"/>
  <c r="R43" i="32"/>
  <c r="S43" i="32" s="1"/>
  <c r="B54" i="32"/>
  <c r="V54" i="32" s="1"/>
  <c r="V52" i="32"/>
  <c r="S52" i="32"/>
  <c r="B47" i="32"/>
  <c r="V47" i="32" s="1"/>
  <c r="C203" i="31"/>
  <c r="B201" i="31"/>
  <c r="B203" i="31" s="1"/>
  <c r="C50" i="25"/>
  <c r="I50" i="25" s="1"/>
  <c r="V10" i="32"/>
  <c r="C8" i="31"/>
  <c r="B8" i="31" s="1"/>
  <c r="D23" i="33"/>
  <c r="B246" i="31"/>
  <c r="C171" i="31"/>
  <c r="C181" i="31" s="1"/>
  <c r="B244" i="31"/>
  <c r="C243" i="31"/>
  <c r="B243" i="31" s="1"/>
  <c r="C94" i="29"/>
  <c r="E242" i="31"/>
  <c r="E251" i="31" s="1"/>
  <c r="D242" i="31"/>
  <c r="D251" i="31" s="1"/>
  <c r="C77" i="31"/>
  <c r="P43" i="32"/>
  <c r="Q43" i="32" s="1"/>
  <c r="D41" i="29"/>
  <c r="C7" i="29"/>
  <c r="D115" i="28"/>
  <c r="D119" i="28" s="1"/>
  <c r="C61" i="28"/>
  <c r="I61" i="28" s="1"/>
  <c r="D24" i="25"/>
  <c r="D28" i="25" s="1"/>
  <c r="D38" i="28"/>
  <c r="C7" i="28"/>
  <c r="C35" i="25"/>
  <c r="D118" i="16"/>
  <c r="D122" i="16" s="1"/>
  <c r="C98" i="16"/>
  <c r="I98" i="16" s="1"/>
  <c r="D27" i="16"/>
  <c r="B152" i="30"/>
  <c r="G152" i="30" s="1"/>
  <c r="C95" i="30"/>
  <c r="G9" i="31"/>
  <c r="B10" i="31"/>
  <c r="C23" i="33" s="1"/>
  <c r="R117" i="32"/>
  <c r="S117" i="32" s="1"/>
  <c r="C62" i="24"/>
  <c r="I62" i="24" s="1"/>
  <c r="C37" i="24"/>
  <c r="I37" i="24" s="1"/>
  <c r="B124" i="30"/>
  <c r="D164" i="32"/>
  <c r="B151" i="30"/>
  <c r="G151" i="30" s="1"/>
  <c r="C135" i="32"/>
  <c r="C136" i="32"/>
  <c r="Q136" i="32"/>
  <c r="H132" i="32"/>
  <c r="S132" i="32" s="1"/>
  <c r="R130" i="32"/>
  <c r="L132" i="32"/>
  <c r="U132" i="32" s="1"/>
  <c r="T130" i="32"/>
  <c r="D132" i="32"/>
  <c r="B132" i="32"/>
  <c r="P130" i="32"/>
  <c r="V131" i="32"/>
  <c r="V136" i="32"/>
  <c r="C131" i="32"/>
  <c r="V135" i="32"/>
  <c r="B121" i="32"/>
  <c r="V121" i="32" s="1"/>
  <c r="C119" i="32"/>
  <c r="C122" i="32"/>
  <c r="V119" i="32"/>
  <c r="B224" i="31"/>
  <c r="Q117" i="32"/>
  <c r="V122" i="32"/>
  <c r="B96" i="30"/>
  <c r="E95" i="30"/>
  <c r="B99" i="30"/>
  <c r="D95" i="30"/>
  <c r="C97" i="32"/>
  <c r="B95" i="32"/>
  <c r="V95" i="32" s="1"/>
  <c r="Q95" i="32"/>
  <c r="W103" i="32"/>
  <c r="V97" i="32"/>
  <c r="V100" i="32"/>
  <c r="C100" i="32"/>
  <c r="E171" i="31"/>
  <c r="E181" i="31" s="1"/>
  <c r="B84" i="30"/>
  <c r="B91" i="30"/>
  <c r="B174" i="31"/>
  <c r="B173" i="31"/>
  <c r="D80" i="30"/>
  <c r="B172" i="31"/>
  <c r="V92" i="32"/>
  <c r="B83" i="32"/>
  <c r="D83" i="32"/>
  <c r="P81" i="32"/>
  <c r="C92" i="32"/>
  <c r="Q85" i="32"/>
  <c r="L85" i="32" s="1"/>
  <c r="U85" i="32" s="1"/>
  <c r="B84" i="32"/>
  <c r="V84" i="32" s="1"/>
  <c r="Q84" i="32"/>
  <c r="S88" i="32"/>
  <c r="B87" i="32"/>
  <c r="V87" i="32" s="1"/>
  <c r="Q87" i="32"/>
  <c r="E80" i="30"/>
  <c r="V82" i="32"/>
  <c r="T80" i="32"/>
  <c r="U80" i="32" s="1"/>
  <c r="R80" i="32"/>
  <c r="S80" i="32" s="1"/>
  <c r="C82" i="32"/>
  <c r="Q88" i="32"/>
  <c r="L88" i="32" s="1"/>
  <c r="U88" i="32" s="1"/>
  <c r="V51" i="32"/>
  <c r="V45" i="32"/>
  <c r="D43" i="30"/>
  <c r="V48" i="32"/>
  <c r="D118" i="31"/>
  <c r="C45" i="32"/>
  <c r="C55" i="32"/>
  <c r="C51" i="32"/>
  <c r="D165" i="32"/>
  <c r="I151" i="32"/>
  <c r="J150" i="32" s="1"/>
  <c r="V55" i="32"/>
  <c r="C48" i="32"/>
  <c r="Q28" i="32"/>
  <c r="Q23" i="32"/>
  <c r="Q18" i="32"/>
  <c r="B9" i="32"/>
  <c r="V9" i="32" s="1"/>
  <c r="C10" i="32"/>
  <c r="S10" i="32"/>
  <c r="E8" i="30"/>
  <c r="B9" i="30"/>
  <c r="C8" i="30"/>
  <c r="W16" i="32"/>
  <c r="X16" i="32" s="1"/>
  <c r="E43" i="30"/>
  <c r="B81" i="30"/>
  <c r="B123" i="30"/>
  <c r="E117" i="30"/>
  <c r="B134" i="30"/>
  <c r="D8" i="30"/>
  <c r="D129" i="30"/>
  <c r="G221" i="31"/>
  <c r="B179" i="31"/>
  <c r="E118" i="31"/>
  <c r="C118" i="31"/>
  <c r="B121" i="31"/>
  <c r="B195" i="31"/>
  <c r="B12" i="30"/>
  <c r="B197" i="31"/>
  <c r="C9" i="22"/>
  <c r="D7" i="22"/>
  <c r="D130" i="31"/>
  <c r="C130" i="31"/>
  <c r="B119" i="31"/>
  <c r="B54" i="30"/>
  <c r="B50" i="30"/>
  <c r="C28" i="30"/>
  <c r="B127" i="31"/>
  <c r="D117" i="30"/>
  <c r="B44" i="30"/>
  <c r="C18" i="30"/>
  <c r="B124" i="31"/>
  <c r="G126" i="31" s="1"/>
  <c r="B121" i="30"/>
  <c r="B47" i="30"/>
  <c r="C43" i="30"/>
  <c r="E130" i="31"/>
  <c r="B87" i="30"/>
  <c r="D171" i="31"/>
  <c r="B176" i="31"/>
  <c r="C23" i="30"/>
  <c r="C117" i="30"/>
  <c r="B118" i="30"/>
  <c r="C129" i="30"/>
  <c r="C80" i="30"/>
  <c r="E130" i="30"/>
  <c r="E129" i="30" s="1"/>
  <c r="B132" i="30"/>
  <c r="F88" i="24"/>
  <c r="F108" i="24" s="1"/>
  <c r="F112" i="24" s="1"/>
  <c r="F115" i="24" s="1"/>
  <c r="E88" i="24"/>
  <c r="E108" i="24" s="1"/>
  <c r="E112" i="24" s="1"/>
  <c r="E115" i="24" s="1"/>
  <c r="D88" i="24"/>
  <c r="E27" i="24"/>
  <c r="E31" i="24" s="1"/>
  <c r="C11" i="24"/>
  <c r="G116" i="24" s="1"/>
  <c r="F47" i="24"/>
  <c r="F51" i="24" s="1"/>
  <c r="F54" i="24" s="1"/>
  <c r="E47" i="24"/>
  <c r="E51" i="24" s="1"/>
  <c r="E54" i="24" s="1"/>
  <c r="C122" i="16" l="1"/>
  <c r="C125" i="16" s="1"/>
  <c r="D125" i="16"/>
  <c r="C27" i="16"/>
  <c r="D29" i="16"/>
  <c r="C119" i="28"/>
  <c r="C122" i="28" s="1"/>
  <c r="D122" i="28"/>
  <c r="C28" i="25"/>
  <c r="D34" i="25"/>
  <c r="C31" i="24"/>
  <c r="E33" i="24"/>
  <c r="I64" i="25"/>
  <c r="C80" i="25"/>
  <c r="I62" i="25"/>
  <c r="C87" i="25"/>
  <c r="I35" i="25"/>
  <c r="C57" i="25"/>
  <c r="D42" i="28"/>
  <c r="C35" i="16"/>
  <c r="C37" i="16"/>
  <c r="C41" i="29"/>
  <c r="D45" i="29"/>
  <c r="C38" i="28"/>
  <c r="C228" i="31"/>
  <c r="B228" i="31" s="1"/>
  <c r="B217" i="31"/>
  <c r="W57" i="32"/>
  <c r="C118" i="16"/>
  <c r="C27" i="24"/>
  <c r="I27" i="24" s="1"/>
  <c r="D108" i="24"/>
  <c r="D112" i="24" s="1"/>
  <c r="C88" i="24"/>
  <c r="C24" i="25"/>
  <c r="B43" i="32"/>
  <c r="V43" i="32" s="1"/>
  <c r="C242" i="31"/>
  <c r="C251" i="31" s="1"/>
  <c r="B194" i="31"/>
  <c r="C23" i="16"/>
  <c r="C7" i="24"/>
  <c r="B117" i="32"/>
  <c r="V117" i="32" s="1"/>
  <c r="C115" i="28"/>
  <c r="W127" i="32"/>
  <c r="V132" i="32"/>
  <c r="S130" i="32"/>
  <c r="R129" i="32"/>
  <c r="S129" i="32" s="1"/>
  <c r="C132" i="32"/>
  <c r="Q132" i="32"/>
  <c r="U130" i="32"/>
  <c r="T129" i="32"/>
  <c r="U129" i="32" s="1"/>
  <c r="B130" i="32"/>
  <c r="V130" i="32" s="1"/>
  <c r="Q130" i="32"/>
  <c r="P129" i="32"/>
  <c r="B95" i="30"/>
  <c r="G103" i="30" s="1"/>
  <c r="H103" i="30"/>
  <c r="H93" i="30"/>
  <c r="V85" i="32"/>
  <c r="C85" i="32"/>
  <c r="V88" i="32"/>
  <c r="B81" i="32"/>
  <c r="V81" i="32" s="1"/>
  <c r="Q81" i="32"/>
  <c r="P80" i="32"/>
  <c r="C83" i="32"/>
  <c r="C88" i="32"/>
  <c r="V83" i="32"/>
  <c r="W56" i="32"/>
  <c r="B118" i="31"/>
  <c r="B8" i="32"/>
  <c r="V8" i="32" s="1"/>
  <c r="B8" i="30"/>
  <c r="G16" i="30" s="1"/>
  <c r="H16" i="30"/>
  <c r="H139" i="30"/>
  <c r="B43" i="30"/>
  <c r="G57" i="30" s="1"/>
  <c r="H57" i="30"/>
  <c r="H56" i="30"/>
  <c r="C99" i="31"/>
  <c r="D49" i="22"/>
  <c r="D51" i="22" s="1"/>
  <c r="C7" i="22"/>
  <c r="C49" i="22" s="1"/>
  <c r="C51" i="22" s="1"/>
  <c r="B130" i="31"/>
  <c r="G56" i="30" s="1"/>
  <c r="W102" i="32"/>
  <c r="B117" i="30"/>
  <c r="G127" i="30" s="1"/>
  <c r="H127" i="30"/>
  <c r="D181" i="31"/>
  <c r="B171" i="31"/>
  <c r="B181" i="31" s="1"/>
  <c r="B129" i="30"/>
  <c r="G139" i="30" s="1"/>
  <c r="B80" i="30"/>
  <c r="G93" i="30" s="1"/>
  <c r="B130" i="30"/>
  <c r="D62" i="24"/>
  <c r="D47" i="24"/>
  <c r="D51" i="24" s="1"/>
  <c r="C29" i="16" l="1"/>
  <c r="C42" i="28"/>
  <c r="D45" i="28"/>
  <c r="I28" i="25"/>
  <c r="C34" i="25"/>
  <c r="I31" i="24"/>
  <c r="C33" i="24"/>
  <c r="C45" i="29"/>
  <c r="D48" i="29"/>
  <c r="C112" i="24"/>
  <c r="C115" i="24" s="1"/>
  <c r="D115" i="24"/>
  <c r="C51" i="24"/>
  <c r="D54" i="24"/>
  <c r="C53" i="16"/>
  <c r="C108" i="24"/>
  <c r="C47" i="24"/>
  <c r="I47" i="24" s="1"/>
  <c r="G92" i="30"/>
  <c r="B242" i="31"/>
  <c r="B251" i="31" s="1"/>
  <c r="G138" i="30" s="1"/>
  <c r="G126" i="30"/>
  <c r="H138" i="30"/>
  <c r="W138" i="32"/>
  <c r="Q129" i="32"/>
  <c r="W139" i="32"/>
  <c r="B129" i="32"/>
  <c r="V129" i="32" s="1"/>
  <c r="H126" i="30"/>
  <c r="W126" i="32"/>
  <c r="H92" i="30"/>
  <c r="W92" i="32"/>
  <c r="B80" i="32"/>
  <c r="V80" i="32" s="1"/>
  <c r="W93" i="32"/>
  <c r="Q80" i="32"/>
  <c r="I16" i="30"/>
  <c r="G58" i="30"/>
  <c r="G102" i="30"/>
  <c r="H102" i="30"/>
  <c r="D75" i="24"/>
  <c r="D79" i="24" s="1"/>
  <c r="I42" i="28" l="1"/>
  <c r="C45" i="28"/>
  <c r="C48" i="29"/>
  <c r="I48" i="29" s="1"/>
  <c r="C79" i="24"/>
  <c r="C82" i="24" s="1"/>
  <c r="D82" i="24"/>
  <c r="I51" i="24"/>
  <c r="C54" i="24"/>
  <c r="C75" i="24"/>
  <c r="H250" i="31"/>
  <c r="F15" i="18"/>
  <c r="H15" i="18"/>
  <c r="G15" i="18"/>
  <c r="C63" i="22"/>
  <c r="C65" i="22"/>
  <c r="D66" i="22"/>
  <c r="E66" i="22"/>
  <c r="F66" i="22"/>
  <c r="C68" i="22"/>
  <c r="C69" i="22"/>
  <c r="C70" i="22"/>
  <c r="C71" i="22"/>
  <c r="C72" i="22"/>
  <c r="D76" i="22"/>
  <c r="E76" i="22"/>
  <c r="F76" i="22"/>
  <c r="C77" i="22"/>
  <c r="C78" i="22"/>
  <c r="C79" i="22"/>
  <c r="D80" i="22"/>
  <c r="E80" i="22"/>
  <c r="F80" i="22"/>
  <c r="C81" i="22"/>
  <c r="C82" i="22"/>
  <c r="C83" i="22"/>
  <c r="C84" i="22"/>
  <c r="C85" i="22"/>
  <c r="C86" i="22"/>
  <c r="C87" i="22"/>
  <c r="C88" i="22"/>
  <c r="D89" i="22"/>
  <c r="E89" i="22"/>
  <c r="F89" i="22"/>
  <c r="C90" i="22"/>
  <c r="C91" i="22"/>
  <c r="C92" i="22"/>
  <c r="C93" i="22"/>
  <c r="C94" i="22"/>
  <c r="C95" i="22"/>
  <c r="C96" i="22"/>
  <c r="C97" i="22"/>
  <c r="C98" i="22"/>
  <c r="C99" i="22"/>
  <c r="C100" i="22"/>
  <c r="D101" i="22"/>
  <c r="E101" i="22"/>
  <c r="F101" i="22"/>
  <c r="C102" i="22"/>
  <c r="C103" i="22"/>
  <c r="D104" i="22"/>
  <c r="E104" i="22"/>
  <c r="F104" i="22"/>
  <c r="C105" i="22"/>
  <c r="C106" i="22"/>
  <c r="C107" i="22"/>
  <c r="C108" i="22"/>
  <c r="C110" i="22"/>
  <c r="C112" i="22"/>
  <c r="C113" i="22"/>
  <c r="C114" i="22"/>
  <c r="C115" i="22"/>
  <c r="C101" i="22" l="1"/>
  <c r="C80" i="22"/>
  <c r="F73" i="22"/>
  <c r="F64" i="22"/>
  <c r="F62" i="22" s="1"/>
  <c r="F118" i="22" s="1"/>
  <c r="F116" i="22" s="1"/>
  <c r="C104" i="22"/>
  <c r="C89" i="22"/>
  <c r="E73" i="22"/>
  <c r="C66" i="22"/>
  <c r="E64" i="22"/>
  <c r="E62" i="22" s="1"/>
  <c r="E118" i="22" s="1"/>
  <c r="E116" i="22" s="1"/>
  <c r="C76" i="22"/>
  <c r="D64" i="22"/>
  <c r="D73" i="22"/>
  <c r="C64" i="22" l="1"/>
  <c r="D62" i="22"/>
  <c r="C62" i="22" s="1"/>
  <c r="C118" i="22" s="1"/>
  <c r="C116" i="22" s="1"/>
  <c r="C73" i="22"/>
  <c r="D118" i="22"/>
  <c r="D116" i="22" s="1"/>
  <c r="F140" i="21" l="1"/>
  <c r="E140" i="21"/>
  <c r="D140" i="21"/>
  <c r="C140" i="21"/>
  <c r="C138" i="21"/>
  <c r="C137" i="21"/>
  <c r="C136" i="21"/>
  <c r="C135" i="21"/>
  <c r="C130" i="21"/>
  <c r="C128" i="21"/>
  <c r="C127" i="21"/>
  <c r="C126" i="21"/>
  <c r="C124" i="21"/>
  <c r="F120" i="21"/>
  <c r="E120" i="21"/>
  <c r="D120" i="21"/>
  <c r="C119" i="21"/>
  <c r="C117" i="21"/>
  <c r="F113" i="21"/>
  <c r="E113" i="21"/>
  <c r="D113" i="21"/>
  <c r="C113" i="21"/>
  <c r="F90" i="21"/>
  <c r="E90" i="21"/>
  <c r="D90" i="21"/>
  <c r="C90" i="21"/>
  <c r="C88" i="21"/>
  <c r="C87" i="21"/>
  <c r="C86" i="21"/>
  <c r="C85" i="21"/>
  <c r="C80" i="21"/>
  <c r="C78" i="21"/>
  <c r="C70" i="21" s="1"/>
  <c r="C77" i="21"/>
  <c r="C76" i="21"/>
  <c r="C74" i="21"/>
  <c r="F70" i="21"/>
  <c r="E70" i="21"/>
  <c r="D70" i="21"/>
  <c r="C69" i="21"/>
  <c r="C63" i="21" s="1"/>
  <c r="C67" i="21"/>
  <c r="F63" i="21"/>
  <c r="E63" i="21"/>
  <c r="E61" i="21" s="1"/>
  <c r="E59" i="21" s="1"/>
  <c r="E96" i="21" s="1"/>
  <c r="E98" i="21" s="1"/>
  <c r="D63" i="21"/>
  <c r="D38" i="21"/>
  <c r="E38" i="21"/>
  <c r="F38" i="21"/>
  <c r="C38" i="21"/>
  <c r="C35" i="21"/>
  <c r="C36" i="21"/>
  <c r="E111" i="21" l="1"/>
  <c r="E109" i="21" s="1"/>
  <c r="E146" i="21" s="1"/>
  <c r="E148" i="21" s="1"/>
  <c r="C120" i="21"/>
  <c r="F61" i="21"/>
  <c r="F59" i="21" s="1"/>
  <c r="F96" i="21" s="1"/>
  <c r="F98" i="21" s="1"/>
  <c r="D111" i="21"/>
  <c r="D109" i="21" s="1"/>
  <c r="D61" i="21"/>
  <c r="F111" i="21"/>
  <c r="F109" i="21" s="1"/>
  <c r="F146" i="21" s="1"/>
  <c r="F148" i="21" s="1"/>
  <c r="D59" i="21"/>
  <c r="C61" i="21"/>
  <c r="C111" i="21" l="1"/>
  <c r="D146" i="21"/>
  <c r="D148" i="21" s="1"/>
  <c r="C109" i="21"/>
  <c r="D96" i="21"/>
  <c r="D98" i="21" s="1"/>
  <c r="C59" i="21"/>
  <c r="D18" i="21"/>
  <c r="E18" i="21"/>
  <c r="F18" i="21"/>
  <c r="C34" i="21"/>
  <c r="C33" i="21"/>
  <c r="C28" i="21"/>
  <c r="C26" i="21"/>
  <c r="C25" i="21"/>
  <c r="C24" i="21"/>
  <c r="C22" i="21"/>
  <c r="C17" i="21"/>
  <c r="C15" i="21"/>
  <c r="F11" i="21"/>
  <c r="E11" i="21"/>
  <c r="D11" i="21"/>
  <c r="C146" i="21" l="1"/>
  <c r="C148" i="21" s="1"/>
  <c r="C151" i="21"/>
  <c r="C96" i="21"/>
  <c r="C98" i="21" s="1"/>
  <c r="C101" i="21"/>
  <c r="C18" i="21"/>
  <c r="D9" i="21"/>
  <c r="D7" i="21" s="1"/>
  <c r="F9" i="21"/>
  <c r="F7" i="21" s="1"/>
  <c r="F44" i="21" s="1"/>
  <c r="F46" i="21" s="1"/>
  <c r="C11" i="21"/>
  <c r="E9" i="21"/>
  <c r="E7" i="21" s="1"/>
  <c r="E44" i="21" s="1"/>
  <c r="E46" i="21" s="1"/>
  <c r="C9" i="21" l="1"/>
  <c r="D44" i="21"/>
  <c r="D46" i="21" s="1"/>
  <c r="C7" i="21"/>
  <c r="C44" i="21" l="1"/>
  <c r="C46" i="21" s="1"/>
  <c r="C49" i="21"/>
  <c r="C164" i="18" l="1"/>
  <c r="C163" i="18"/>
  <c r="C162" i="18"/>
  <c r="C161" i="18"/>
  <c r="C159" i="18"/>
  <c r="C157" i="18"/>
  <c r="F153" i="18"/>
  <c r="E153" i="18"/>
  <c r="D153" i="18"/>
  <c r="C152" i="18"/>
  <c r="C150" i="18"/>
  <c r="F146" i="18"/>
  <c r="F144" i="18" s="1"/>
  <c r="F142" i="18" s="1"/>
  <c r="F167" i="18" s="1"/>
  <c r="F169" i="18" s="1"/>
  <c r="E146" i="18"/>
  <c r="D146" i="18"/>
  <c r="C126" i="18"/>
  <c r="F124" i="18"/>
  <c r="E124" i="18"/>
  <c r="D124" i="18"/>
  <c r="C124" i="18"/>
  <c r="C123" i="18"/>
  <c r="C122" i="18"/>
  <c r="C121" i="18"/>
  <c r="C120" i="18"/>
  <c r="C119" i="18"/>
  <c r="C117" i="18"/>
  <c r="C116" i="18"/>
  <c r="C115" i="18"/>
  <c r="C114" i="18"/>
  <c r="C112" i="18"/>
  <c r="F108" i="18"/>
  <c r="E108" i="18"/>
  <c r="D108" i="18"/>
  <c r="C107" i="18"/>
  <c r="C105" i="18"/>
  <c r="F101" i="18"/>
  <c r="F99" i="18" s="1"/>
  <c r="F97" i="18" s="1"/>
  <c r="F129" i="18" s="1"/>
  <c r="F131" i="18" s="1"/>
  <c r="E101" i="18"/>
  <c r="D101" i="18"/>
  <c r="C81" i="18"/>
  <c r="F79" i="18"/>
  <c r="E79" i="18"/>
  <c r="D79" i="18"/>
  <c r="C79" i="18"/>
  <c r="C78" i="18"/>
  <c r="C77" i="18"/>
  <c r="C76" i="18"/>
  <c r="C75" i="18"/>
  <c r="C74" i="18"/>
  <c r="C72" i="18"/>
  <c r="C71" i="18"/>
  <c r="C70" i="18"/>
  <c r="C69" i="18"/>
  <c r="F34" i="18"/>
  <c r="C60" i="18"/>
  <c r="C36" i="18"/>
  <c r="C34" i="18" s="1"/>
  <c r="E34" i="18"/>
  <c r="D34" i="18"/>
  <c r="C32" i="18"/>
  <c r="C33" i="18"/>
  <c r="C26" i="18"/>
  <c r="C27" i="18"/>
  <c r="F11" i="18"/>
  <c r="C67" i="18"/>
  <c r="F63" i="18"/>
  <c r="E63" i="18"/>
  <c r="D63" i="18"/>
  <c r="C62" i="18"/>
  <c r="F56" i="18"/>
  <c r="E56" i="18"/>
  <c r="E54" i="18" s="1"/>
  <c r="E52" i="18" s="1"/>
  <c r="E84" i="18" s="1"/>
  <c r="E86" i="18" s="1"/>
  <c r="D56" i="18"/>
  <c r="D54" i="18" s="1"/>
  <c r="D52" i="18" s="1"/>
  <c r="D84" i="18" s="1"/>
  <c r="D86" i="18" s="1"/>
  <c r="C31" i="18"/>
  <c r="C30" i="18"/>
  <c r="C29" i="18"/>
  <c r="C25" i="18"/>
  <c r="C24" i="18"/>
  <c r="C22" i="18"/>
  <c r="F18" i="18"/>
  <c r="E18" i="18"/>
  <c r="D18" i="18"/>
  <c r="C17" i="18"/>
  <c r="E11" i="18"/>
  <c r="D11" i="18"/>
  <c r="C107" i="17"/>
  <c r="C106" i="17"/>
  <c r="C105" i="17"/>
  <c r="C104" i="17"/>
  <c r="C102" i="17"/>
  <c r="C101" i="17"/>
  <c r="C99" i="17"/>
  <c r="C98" i="17"/>
  <c r="C93" i="17"/>
  <c r="F89" i="17"/>
  <c r="E89" i="17"/>
  <c r="D89" i="17"/>
  <c r="C23" i="17"/>
  <c r="I23" i="17" s="1"/>
  <c r="C21" i="17"/>
  <c r="I21" i="17" s="1"/>
  <c r="C17" i="17"/>
  <c r="I17" i="17" s="1"/>
  <c r="C15" i="17"/>
  <c r="I15" i="17" s="1"/>
  <c r="T61" i="32"/>
  <c r="R61" i="32"/>
  <c r="P61" i="32"/>
  <c r="C23" i="13"/>
  <c r="I23" i="13" s="1"/>
  <c r="C15" i="15"/>
  <c r="I15" i="15" s="1"/>
  <c r="C24" i="15"/>
  <c r="I24" i="15" s="1"/>
  <c r="C23" i="15"/>
  <c r="I23" i="15" s="1"/>
  <c r="C19" i="15"/>
  <c r="I19" i="15" s="1"/>
  <c r="C18" i="15"/>
  <c r="I18" i="15" s="1"/>
  <c r="C17" i="15"/>
  <c r="I17" i="15" s="1"/>
  <c r="T31" i="32"/>
  <c r="T30" i="32"/>
  <c r="R30" i="32"/>
  <c r="C89" i="17" l="1"/>
  <c r="I89" i="17" s="1"/>
  <c r="I93" i="17"/>
  <c r="R64" i="32"/>
  <c r="K64" i="32" s="1"/>
  <c r="T64" i="32"/>
  <c r="O64" i="32" s="1"/>
  <c r="H64" i="32" s="1"/>
  <c r="R63" i="32"/>
  <c r="S63" i="32" s="1"/>
  <c r="C149" i="31"/>
  <c r="C148" i="31" s="1"/>
  <c r="P64" i="32"/>
  <c r="K61" i="32"/>
  <c r="R60" i="32"/>
  <c r="O61" i="32"/>
  <c r="H61" i="32" s="1"/>
  <c r="T60" i="32"/>
  <c r="C63" i="17"/>
  <c r="I63" i="17" s="1"/>
  <c r="F61" i="32"/>
  <c r="B61" i="32"/>
  <c r="P60" i="32"/>
  <c r="L31" i="32"/>
  <c r="W31" i="32"/>
  <c r="B31" i="32"/>
  <c r="K30" i="32"/>
  <c r="R29" i="32"/>
  <c r="B30" i="32"/>
  <c r="O30" i="32"/>
  <c r="U30" i="32" s="1"/>
  <c r="T29" i="32"/>
  <c r="C146" i="18"/>
  <c r="D30" i="30"/>
  <c r="D61" i="30"/>
  <c r="D60" i="30" s="1"/>
  <c r="D146" i="31"/>
  <c r="D64" i="30"/>
  <c r="D63" i="30" s="1"/>
  <c r="D149" i="31"/>
  <c r="D148" i="31" s="1"/>
  <c r="E98" i="31"/>
  <c r="B98" i="31" s="1"/>
  <c r="E31" i="30"/>
  <c r="E61" i="30"/>
  <c r="E60" i="30" s="1"/>
  <c r="E146" i="31"/>
  <c r="E64" i="30"/>
  <c r="E63" i="30" s="1"/>
  <c r="E149" i="31"/>
  <c r="E148" i="31" s="1"/>
  <c r="E30" i="30"/>
  <c r="C61" i="30"/>
  <c r="D87" i="17"/>
  <c r="D85" i="17" s="1"/>
  <c r="D109" i="17" s="1"/>
  <c r="D111" i="17" s="1"/>
  <c r="C64" i="30"/>
  <c r="C94" i="17"/>
  <c r="I94" i="17" s="1"/>
  <c r="T26" i="32"/>
  <c r="E87" i="17"/>
  <c r="E85" i="17" s="1"/>
  <c r="E109" i="17" s="1"/>
  <c r="E111" i="17" s="1"/>
  <c r="F7" i="17"/>
  <c r="F24" i="17" s="1"/>
  <c r="F28" i="17" s="1"/>
  <c r="F32" i="17" s="1"/>
  <c r="E7" i="17"/>
  <c r="E24" i="17" s="1"/>
  <c r="E28" i="17" s="1"/>
  <c r="E32" i="17" s="1"/>
  <c r="D7" i="17"/>
  <c r="F87" i="17"/>
  <c r="F85" i="17" s="1"/>
  <c r="F109" i="17" s="1"/>
  <c r="F111" i="17" s="1"/>
  <c r="E144" i="18"/>
  <c r="E142" i="18" s="1"/>
  <c r="E167" i="18" s="1"/>
  <c r="E169" i="18" s="1"/>
  <c r="C101" i="18"/>
  <c r="D99" i="18"/>
  <c r="D97" i="18" s="1"/>
  <c r="C108" i="18"/>
  <c r="E99" i="18"/>
  <c r="E97" i="18" s="1"/>
  <c r="E129" i="18" s="1"/>
  <c r="E131" i="18" s="1"/>
  <c r="D144" i="18"/>
  <c r="C153" i="18"/>
  <c r="C56" i="18"/>
  <c r="E9" i="18"/>
  <c r="E7" i="18" s="1"/>
  <c r="E39" i="18" s="1"/>
  <c r="E41" i="18" s="1"/>
  <c r="C15" i="18"/>
  <c r="C11" i="18" s="1"/>
  <c r="F9" i="18"/>
  <c r="F7" i="18" s="1"/>
  <c r="F39" i="18" s="1"/>
  <c r="F41" i="18" s="1"/>
  <c r="D9" i="18"/>
  <c r="D7" i="18" s="1"/>
  <c r="C18" i="18"/>
  <c r="F54" i="18"/>
  <c r="F52" i="18" s="1"/>
  <c r="C63" i="18"/>
  <c r="F7" i="15"/>
  <c r="F26" i="15" s="1"/>
  <c r="F30" i="15" s="1"/>
  <c r="F35" i="15" s="1"/>
  <c r="C24" i="14"/>
  <c r="I24" i="14" s="1"/>
  <c r="C23" i="14"/>
  <c r="I23" i="14" s="1"/>
  <c r="C19" i="14"/>
  <c r="I19" i="14" s="1"/>
  <c r="C18" i="14"/>
  <c r="I18" i="14" s="1"/>
  <c r="C17" i="14"/>
  <c r="I17" i="14" s="1"/>
  <c r="T20" i="32"/>
  <c r="R20" i="32"/>
  <c r="B39" i="34" l="1"/>
  <c r="E36" i="34"/>
  <c r="T63" i="32"/>
  <c r="U63" i="32" s="1"/>
  <c r="C9" i="15"/>
  <c r="D7" i="15"/>
  <c r="E145" i="31"/>
  <c r="E151" i="31" s="1"/>
  <c r="F64" i="32"/>
  <c r="Q64" i="32" s="1"/>
  <c r="L64" i="32" s="1"/>
  <c r="B64" i="32"/>
  <c r="P63" i="32"/>
  <c r="B148" i="31"/>
  <c r="S61" i="32"/>
  <c r="S64" i="32"/>
  <c r="U60" i="32"/>
  <c r="R59" i="32"/>
  <c r="S59" i="32" s="1"/>
  <c r="S60" i="32"/>
  <c r="Q60" i="32"/>
  <c r="P59" i="32"/>
  <c r="B60" i="32"/>
  <c r="V60" i="32" s="1"/>
  <c r="Q61" i="32"/>
  <c r="L61" i="32" s="1"/>
  <c r="U61" i="32" s="1"/>
  <c r="V30" i="32"/>
  <c r="U31" i="32"/>
  <c r="C31" i="32"/>
  <c r="V31" i="32"/>
  <c r="R28" i="32"/>
  <c r="S29" i="32"/>
  <c r="B29" i="32"/>
  <c r="V29" i="32" s="1"/>
  <c r="T28" i="32"/>
  <c r="U28" i="32" s="1"/>
  <c r="U29" i="32"/>
  <c r="S30" i="32"/>
  <c r="C30" i="32"/>
  <c r="L26" i="32"/>
  <c r="T24" i="32"/>
  <c r="B26" i="32"/>
  <c r="K20" i="32"/>
  <c r="R19" i="32"/>
  <c r="B20" i="32"/>
  <c r="O20" i="32"/>
  <c r="T19" i="32"/>
  <c r="E59" i="30"/>
  <c r="D59" i="30"/>
  <c r="B61" i="30"/>
  <c r="E29" i="30"/>
  <c r="E28" i="30" s="1"/>
  <c r="B149" i="31"/>
  <c r="F7" i="14"/>
  <c r="E53" i="31"/>
  <c r="E52" i="31" s="1"/>
  <c r="E20" i="30"/>
  <c r="E19" i="30" s="1"/>
  <c r="E18" i="30" s="1"/>
  <c r="C146" i="31"/>
  <c r="H31" i="30"/>
  <c r="B31" i="30"/>
  <c r="G31" i="30" s="1"/>
  <c r="D145" i="31"/>
  <c r="D151" i="31" s="1"/>
  <c r="D29" i="30"/>
  <c r="B30" i="30"/>
  <c r="D20" i="30"/>
  <c r="E7" i="15"/>
  <c r="E26" i="15" s="1"/>
  <c r="E30" i="15" s="1"/>
  <c r="E35" i="15" s="1"/>
  <c r="C60" i="30"/>
  <c r="B60" i="30" s="1"/>
  <c r="E97" i="31"/>
  <c r="E96" i="31" s="1"/>
  <c r="E99" i="31" s="1"/>
  <c r="D97" i="31"/>
  <c r="E26" i="30"/>
  <c r="E76" i="31"/>
  <c r="B64" i="30"/>
  <c r="C63" i="30"/>
  <c r="B63" i="30" s="1"/>
  <c r="C9" i="17"/>
  <c r="C87" i="17"/>
  <c r="I87" i="17" s="1"/>
  <c r="C85" i="17"/>
  <c r="C99" i="18"/>
  <c r="C144" i="18"/>
  <c r="D142" i="18"/>
  <c r="C142" i="18" s="1"/>
  <c r="C167" i="18" s="1"/>
  <c r="C169" i="18" s="1"/>
  <c r="D167" i="18"/>
  <c r="D169" i="18" s="1"/>
  <c r="D129" i="18"/>
  <c r="D131" i="18" s="1"/>
  <c r="C97" i="18"/>
  <c r="C129" i="18" s="1"/>
  <c r="C131" i="18" s="1"/>
  <c r="C9" i="18"/>
  <c r="C54" i="18"/>
  <c r="F84" i="18"/>
  <c r="F86" i="18" s="1"/>
  <c r="C52" i="18"/>
  <c r="C84" i="18" s="1"/>
  <c r="C7" i="18"/>
  <c r="C39" i="18" s="1"/>
  <c r="D39" i="18"/>
  <c r="D41" i="18" s="1"/>
  <c r="C7" i="17"/>
  <c r="D24" i="17"/>
  <c r="D7" i="14"/>
  <c r="B36" i="34" l="1"/>
  <c r="H36" i="34" s="1"/>
  <c r="F27" i="14"/>
  <c r="F31" i="14" s="1"/>
  <c r="F34" i="14" s="1"/>
  <c r="F142" i="32"/>
  <c r="C109" i="17"/>
  <c r="C111" i="17" s="1"/>
  <c r="I85" i="17"/>
  <c r="D28" i="17"/>
  <c r="C24" i="17"/>
  <c r="T59" i="32"/>
  <c r="U59" i="32" s="1"/>
  <c r="E55" i="31"/>
  <c r="E7" i="14"/>
  <c r="C9" i="14"/>
  <c r="C7" i="15"/>
  <c r="H7" i="15" s="1"/>
  <c r="V64" i="32"/>
  <c r="F153" i="32"/>
  <c r="V61" i="32"/>
  <c r="C64" i="32"/>
  <c r="U64" i="32"/>
  <c r="C61" i="32"/>
  <c r="Q63" i="32"/>
  <c r="B63" i="32"/>
  <c r="V63" i="32" s="1"/>
  <c r="Q59" i="32"/>
  <c r="P140" i="32"/>
  <c r="P161" i="32"/>
  <c r="P166" i="32"/>
  <c r="S28" i="32"/>
  <c r="B28" i="32"/>
  <c r="V28" i="32" s="1"/>
  <c r="U24" i="32"/>
  <c r="B24" i="32"/>
  <c r="V24" i="32" s="1"/>
  <c r="T23" i="32"/>
  <c r="C26" i="32"/>
  <c r="V26" i="32"/>
  <c r="V20" i="32"/>
  <c r="U19" i="32"/>
  <c r="T18" i="32"/>
  <c r="S19" i="32"/>
  <c r="R18" i="32"/>
  <c r="B19" i="32"/>
  <c r="V19" i="32" s="1"/>
  <c r="U20" i="32"/>
  <c r="O142" i="32"/>
  <c r="O153" i="32"/>
  <c r="O156" i="32" s="1"/>
  <c r="S20" i="32"/>
  <c r="C20" i="32"/>
  <c r="K153" i="32"/>
  <c r="K156" i="32" s="1"/>
  <c r="K142" i="32"/>
  <c r="D96" i="31"/>
  <c r="B96" i="31" s="1"/>
  <c r="B97" i="31"/>
  <c r="B146" i="31"/>
  <c r="C145" i="31"/>
  <c r="D19" i="30"/>
  <c r="B20" i="30"/>
  <c r="D28" i="30"/>
  <c r="B28" i="30" s="1"/>
  <c r="B29" i="30"/>
  <c r="D53" i="31"/>
  <c r="D52" i="31" s="1"/>
  <c r="D55" i="31" s="1"/>
  <c r="E75" i="31"/>
  <c r="E74" i="31" s="1"/>
  <c r="B76" i="31"/>
  <c r="E24" i="30"/>
  <c r="B26" i="30"/>
  <c r="C59" i="30"/>
  <c r="C156" i="30" s="1"/>
  <c r="C86" i="18"/>
  <c r="C41" i="18"/>
  <c r="D26" i="15"/>
  <c r="D30" i="15" s="1"/>
  <c r="D27" i="14"/>
  <c r="D31" i="14" s="1"/>
  <c r="D34" i="14" s="1"/>
  <c r="C17" i="13"/>
  <c r="I17" i="13" s="1"/>
  <c r="C18" i="13"/>
  <c r="I18" i="13" s="1"/>
  <c r="C19" i="13"/>
  <c r="I19" i="13" s="1"/>
  <c r="C24" i="13"/>
  <c r="I24" i="13" s="1"/>
  <c r="C30" i="15" l="1"/>
  <c r="C35" i="15" s="1"/>
  <c r="I35" i="15" s="1"/>
  <c r="D35" i="15"/>
  <c r="E27" i="14"/>
  <c r="E31" i="14" s="1"/>
  <c r="E34" i="14" s="1"/>
  <c r="C28" i="17"/>
  <c r="C32" i="17" s="1"/>
  <c r="D32" i="17"/>
  <c r="W65" i="32"/>
  <c r="B59" i="32"/>
  <c r="V59" i="32" s="1"/>
  <c r="B52" i="31"/>
  <c r="E77" i="31"/>
  <c r="B74" i="31"/>
  <c r="C27" i="14"/>
  <c r="C7" i="14"/>
  <c r="H7" i="14" s="1"/>
  <c r="C26" i="15"/>
  <c r="F156" i="32"/>
  <c r="P169" i="32"/>
  <c r="Q140" i="32"/>
  <c r="P142" i="32"/>
  <c r="U23" i="32"/>
  <c r="B23" i="32"/>
  <c r="V23" i="32" s="1"/>
  <c r="W26" i="32"/>
  <c r="S18" i="32"/>
  <c r="R161" i="32"/>
  <c r="W21" i="32"/>
  <c r="B18" i="32"/>
  <c r="R140" i="32"/>
  <c r="R166" i="32"/>
  <c r="U18" i="32"/>
  <c r="T161" i="32"/>
  <c r="T166" i="32"/>
  <c r="T140" i="32"/>
  <c r="C151" i="31"/>
  <c r="B145" i="31"/>
  <c r="B151" i="31" s="1"/>
  <c r="G64" i="30" s="1"/>
  <c r="B53" i="31"/>
  <c r="D18" i="30"/>
  <c r="B19" i="30"/>
  <c r="D99" i="31"/>
  <c r="B99" i="31"/>
  <c r="G30" i="30" s="1"/>
  <c r="C161" i="30"/>
  <c r="H65" i="30"/>
  <c r="B75" i="31"/>
  <c r="E23" i="30"/>
  <c r="B24" i="30"/>
  <c r="C140" i="30"/>
  <c r="B59" i="30"/>
  <c r="G65" i="30" s="1"/>
  <c r="D7" i="13"/>
  <c r="F7" i="13"/>
  <c r="E7" i="13"/>
  <c r="E27" i="13" s="1"/>
  <c r="C31" i="14" l="1"/>
  <c r="C34" i="14" s="1"/>
  <c r="I34" i="14" s="1"/>
  <c r="F27" i="13"/>
  <c r="F31" i="13" s="1"/>
  <c r="F35" i="13" s="1"/>
  <c r="E31" i="13"/>
  <c r="E35" i="13" s="1"/>
  <c r="W64" i="32"/>
  <c r="C7" i="13"/>
  <c r="H7" i="13" s="1"/>
  <c r="P170" i="32"/>
  <c r="H30" i="30"/>
  <c r="W30" i="32"/>
  <c r="T163" i="32"/>
  <c r="T169" i="32"/>
  <c r="U140" i="32"/>
  <c r="T142" i="32"/>
  <c r="R169" i="32"/>
  <c r="R142" i="32"/>
  <c r="S140" i="32"/>
  <c r="V18" i="32"/>
  <c r="B166" i="32"/>
  <c r="B144" i="32"/>
  <c r="B140" i="32"/>
  <c r="H21" i="30"/>
  <c r="B18" i="30"/>
  <c r="G21" i="30" s="1"/>
  <c r="D161" i="30"/>
  <c r="D140" i="30"/>
  <c r="D156" i="30"/>
  <c r="H64" i="30"/>
  <c r="W20" i="32"/>
  <c r="B55" i="31"/>
  <c r="H26" i="30"/>
  <c r="E156" i="30"/>
  <c r="W25" i="32"/>
  <c r="B77" i="31"/>
  <c r="B23" i="30"/>
  <c r="E161" i="30"/>
  <c r="E140" i="30"/>
  <c r="C164" i="30"/>
  <c r="C142" i="30"/>
  <c r="D27" i="13"/>
  <c r="C37" i="13" l="1"/>
  <c r="C27" i="13"/>
  <c r="I27" i="13" s="1"/>
  <c r="D31" i="13"/>
  <c r="G25" i="30"/>
  <c r="B156" i="30"/>
  <c r="R170" i="32"/>
  <c r="T171" i="32"/>
  <c r="B169" i="32"/>
  <c r="B146" i="32"/>
  <c r="V140" i="32"/>
  <c r="B142" i="32"/>
  <c r="B148" i="32"/>
  <c r="T170" i="32"/>
  <c r="B140" i="30"/>
  <c r="B164" i="30" s="1"/>
  <c r="G20" i="30"/>
  <c r="H25" i="30"/>
  <c r="H20" i="30"/>
  <c r="D164" i="30"/>
  <c r="D142" i="30"/>
  <c r="E158" i="30"/>
  <c r="C165" i="30"/>
  <c r="B161" i="30"/>
  <c r="G26" i="30"/>
  <c r="E142" i="30"/>
  <c r="E164" i="30"/>
  <c r="I37" i="13" l="1"/>
  <c r="C39" i="13"/>
  <c r="I39" i="13" s="1"/>
  <c r="E37" i="13"/>
  <c r="E41" i="13" s="1"/>
  <c r="C31" i="13"/>
  <c r="D35" i="13"/>
  <c r="B170" i="32"/>
  <c r="B142" i="30"/>
  <c r="B165" i="30" s="1"/>
  <c r="D165" i="30"/>
  <c r="E165" i="30"/>
  <c r="E166" i="30"/>
  <c r="C30" i="8"/>
  <c r="F28" i="8"/>
  <c r="E23" i="9" s="1"/>
  <c r="E28" i="8"/>
  <c r="D28" i="8"/>
  <c r="C28" i="8"/>
  <c r="C27" i="8"/>
  <c r="C25" i="8"/>
  <c r="C24" i="8"/>
  <c r="C23" i="8"/>
  <c r="C22" i="8"/>
  <c r="C15" i="8" s="1"/>
  <c r="C20" i="8"/>
  <c r="C19" i="8"/>
  <c r="F15" i="8"/>
  <c r="E15" i="8"/>
  <c r="E9" i="8" s="1"/>
  <c r="E7" i="8" s="1"/>
  <c r="E33" i="8" s="1"/>
  <c r="E35" i="8" s="1"/>
  <c r="D15" i="8"/>
  <c r="C14" i="8"/>
  <c r="C11" i="8" s="1"/>
  <c r="F11" i="8"/>
  <c r="D21" i="9" s="1"/>
  <c r="E11" i="8"/>
  <c r="C21" i="9" s="1"/>
  <c r="D11" i="8"/>
  <c r="D9" i="8" s="1"/>
  <c r="D7" i="8" s="1"/>
  <c r="D23" i="9"/>
  <c r="E22" i="9"/>
  <c r="C22" i="9"/>
  <c r="E21" i="9"/>
  <c r="I31" i="13" l="1"/>
  <c r="C35" i="13"/>
  <c r="I35" i="13" s="1"/>
  <c r="F9" i="8"/>
  <c r="F7" i="8" s="1"/>
  <c r="F33" i="8" s="1"/>
  <c r="F35" i="8" s="1"/>
  <c r="D22" i="9"/>
  <c r="C7" i="8"/>
  <c r="D33" i="8"/>
  <c r="C23" i="9"/>
  <c r="C20" i="9" s="1"/>
  <c r="C19" i="9" s="1"/>
  <c r="C18" i="9" s="1"/>
  <c r="E20" i="9"/>
  <c r="E19" i="9" s="1"/>
  <c r="E18" i="9" s="1"/>
  <c r="D20" i="9"/>
  <c r="D19" i="9" s="1"/>
  <c r="D18" i="9" s="1"/>
  <c r="C9" i="8" l="1"/>
  <c r="D35" i="8"/>
  <c r="C35" i="8" s="1"/>
  <c r="C33" i="8"/>
  <c r="B20" i="9"/>
  <c r="B19" i="9" s="1"/>
  <c r="B18" i="9" s="1"/>
  <c r="C10" i="9" l="1"/>
  <c r="D10" i="9"/>
  <c r="E10" i="9"/>
  <c r="E17" i="9"/>
  <c r="D17" i="9"/>
  <c r="C17" i="9"/>
  <c r="D9" i="9" l="1"/>
  <c r="D8" i="9" s="1"/>
  <c r="D7" i="9" s="1"/>
  <c r="E9" i="9"/>
  <c r="E8" i="9" s="1"/>
  <c r="B17" i="9"/>
  <c r="B21" i="9" s="1"/>
  <c r="B22" i="9" s="1"/>
  <c r="B23" i="9" s="1"/>
  <c r="C9" i="9"/>
  <c r="C8" i="9" s="1"/>
  <c r="B10" i="9"/>
  <c r="D24" i="9" l="1"/>
  <c r="D26" i="9" s="1"/>
  <c r="B9" i="9"/>
  <c r="B8" i="9" s="1"/>
  <c r="B24" i="9" s="1"/>
  <c r="B26" i="9" s="1"/>
  <c r="C7" i="9"/>
  <c r="C24" i="9"/>
  <c r="C26" i="9" s="1"/>
  <c r="E7" i="9"/>
  <c r="E24" i="9"/>
  <c r="E26" i="9" s="1"/>
  <c r="B7" i="9" l="1"/>
  <c r="Q83" i="32" l="1"/>
  <c r="U26" i="32"/>
  <c r="U56" i="32"/>
  <c r="M153" i="32"/>
  <c r="U57" i="32"/>
  <c r="M155" i="32"/>
  <c r="Q139" i="32"/>
  <c r="Q141" i="32"/>
  <c r="M156" i="32" l="1"/>
  <c r="D14" i="30"/>
  <c r="I42" i="12"/>
  <c r="E34" i="31"/>
  <c r="E33" i="31" s="1"/>
  <c r="F68" i="12"/>
  <c r="D34" i="31"/>
  <c r="D33" i="31" s="1"/>
  <c r="D14" i="34"/>
  <c r="E68" i="12"/>
  <c r="E14" i="30"/>
  <c r="C14" i="30"/>
  <c r="E14" i="34"/>
  <c r="R14" i="32"/>
  <c r="H14" i="32" s="1"/>
  <c r="C34" i="31"/>
  <c r="P14" i="32"/>
  <c r="T14" i="32"/>
  <c r="L14" i="32" s="1"/>
  <c r="C14" i="34"/>
  <c r="D13" i="34" l="1"/>
  <c r="E72" i="12"/>
  <c r="E75" i="12" s="1"/>
  <c r="F72" i="12"/>
  <c r="F75" i="12" s="1"/>
  <c r="E13" i="34"/>
  <c r="B34" i="31"/>
  <c r="C33" i="31"/>
  <c r="B33" i="31" s="1"/>
  <c r="C13" i="34"/>
  <c r="S14" i="32"/>
  <c r="B14" i="30"/>
  <c r="C38" i="12"/>
  <c r="U14" i="32"/>
  <c r="B14" i="32"/>
  <c r="D14" i="32"/>
  <c r="C68" i="12"/>
  <c r="C40" i="12"/>
  <c r="I40" i="12" s="1"/>
  <c r="B14" i="34"/>
  <c r="C72" i="12" l="1"/>
  <c r="I72" i="12" s="1"/>
  <c r="I38" i="12"/>
  <c r="B13" i="34"/>
  <c r="C14" i="32"/>
  <c r="V14" i="32"/>
  <c r="Q14" i="32"/>
  <c r="C75" i="12" l="1"/>
  <c r="I48" i="17" l="1"/>
  <c r="C12" i="34"/>
  <c r="P11" i="32"/>
  <c r="P153" i="32" s="1"/>
  <c r="C11" i="30"/>
  <c r="C32" i="31"/>
  <c r="C31" i="31" s="1"/>
  <c r="C83" i="34" l="1"/>
  <c r="W156" i="32"/>
  <c r="P156" i="32"/>
  <c r="W162" i="32"/>
  <c r="W163" i="32" s="1"/>
  <c r="W164" i="32" s="1"/>
  <c r="W143" i="32"/>
  <c r="W142" i="32" s="1"/>
  <c r="W141" i="32" s="1"/>
  <c r="C11" i="34"/>
  <c r="C30" i="31"/>
  <c r="C150" i="30"/>
  <c r="D7" i="12"/>
  <c r="D11" i="32"/>
  <c r="H157" i="30" l="1"/>
  <c r="H158" i="30" s="1"/>
  <c r="H159" i="30" s="1"/>
  <c r="H153" i="30"/>
  <c r="C153" i="30"/>
  <c r="D153" i="30" s="1"/>
  <c r="D150" i="30"/>
  <c r="H143" i="30"/>
  <c r="H142" i="30" s="1"/>
  <c r="H141" i="30" s="1"/>
  <c r="D30" i="12"/>
  <c r="C8" i="34"/>
  <c r="Q11" i="32"/>
  <c r="D153" i="32"/>
  <c r="D142" i="32"/>
  <c r="C37" i="31"/>
  <c r="C259" i="31" s="1"/>
  <c r="D156" i="32" l="1"/>
  <c r="G157" i="32" s="1"/>
  <c r="G160" i="32" s="1"/>
  <c r="P160" i="32"/>
  <c r="C155" i="30"/>
  <c r="D34" i="12"/>
  <c r="C142" i="32"/>
  <c r="C143" i="32" s="1"/>
  <c r="G143" i="32"/>
  <c r="D146" i="32"/>
  <c r="F143" i="32"/>
  <c r="V142" i="32"/>
  <c r="Q142" i="32"/>
  <c r="E32" i="31" l="1"/>
  <c r="E31" i="31" s="1"/>
  <c r="E30" i="31" s="1"/>
  <c r="E37" i="31" s="1"/>
  <c r="E259" i="31" s="1"/>
  <c r="E11" i="30"/>
  <c r="D32" i="31"/>
  <c r="D31" i="31" s="1"/>
  <c r="T11" i="32"/>
  <c r="T153" i="32" s="1"/>
  <c r="T156" i="32" s="1"/>
  <c r="D11" i="30"/>
  <c r="F7" i="12"/>
  <c r="E12" i="34"/>
  <c r="D12" i="34"/>
  <c r="D83" i="34" s="1"/>
  <c r="C9" i="12"/>
  <c r="H9" i="12" s="1"/>
  <c r="R11" i="32"/>
  <c r="R153" i="32" s="1"/>
  <c r="R156" i="32" s="1"/>
  <c r="B11" i="30" l="1"/>
  <c r="B150" i="30" s="1"/>
  <c r="G150" i="30" s="1"/>
  <c r="G153" i="30" s="1"/>
  <c r="B32" i="31"/>
  <c r="E11" i="34"/>
  <c r="E8" i="34" s="1"/>
  <c r="E83" i="34"/>
  <c r="B31" i="31"/>
  <c r="B30" i="31" s="1"/>
  <c r="G36" i="31" s="1"/>
  <c r="D11" i="34"/>
  <c r="H11" i="32"/>
  <c r="H153" i="32" s="1"/>
  <c r="W150" i="32" s="1"/>
  <c r="T158" i="32"/>
  <c r="E155" i="30"/>
  <c r="T160" i="32"/>
  <c r="E7" i="12"/>
  <c r="F30" i="12"/>
  <c r="F34" i="12" s="1"/>
  <c r="L11" i="32"/>
  <c r="D30" i="31"/>
  <c r="B11" i="32"/>
  <c r="B153" i="32" s="1"/>
  <c r="B156" i="32" s="1"/>
  <c r="B160" i="32" s="1"/>
  <c r="B12" i="34"/>
  <c r="J12" i="34"/>
  <c r="J13" i="34" s="1"/>
  <c r="H11" i="30"/>
  <c r="J83" i="34"/>
  <c r="A83" i="34" l="1"/>
  <c r="B153" i="30"/>
  <c r="E153" i="30" s="1"/>
  <c r="B37" i="31"/>
  <c r="G15" i="30" s="1"/>
  <c r="B11" i="34"/>
  <c r="H11" i="34" s="1"/>
  <c r="D8" i="34"/>
  <c r="E163" i="32"/>
  <c r="E165" i="32" s="1"/>
  <c r="W151" i="32"/>
  <c r="H156" i="32"/>
  <c r="K157" i="32" s="1"/>
  <c r="K160" i="32" s="1"/>
  <c r="D163" i="32"/>
  <c r="H142" i="32"/>
  <c r="J143" i="32" s="1"/>
  <c r="C11" i="32"/>
  <c r="S11" i="32"/>
  <c r="V11" i="32"/>
  <c r="L153" i="32"/>
  <c r="L156" i="32" s="1"/>
  <c r="O157" i="32" s="1"/>
  <c r="O160" i="32" s="1"/>
  <c r="U11" i="32"/>
  <c r="L142" i="32"/>
  <c r="C7" i="12"/>
  <c r="E30" i="12"/>
  <c r="K83" i="34"/>
  <c r="H36" i="31"/>
  <c r="I36" i="31" s="1"/>
  <c r="D37" i="31"/>
  <c r="D259" i="31" s="1"/>
  <c r="B259" i="31" l="1"/>
  <c r="B155" i="30" s="1"/>
  <c r="B8" i="34"/>
  <c r="G161" i="32"/>
  <c r="S142" i="32"/>
  <c r="K143" i="32"/>
  <c r="R160" i="32"/>
  <c r="D155" i="30"/>
  <c r="C30" i="12"/>
  <c r="E34" i="12"/>
  <c r="U142" i="32"/>
  <c r="O143" i="32"/>
  <c r="N143" i="32"/>
  <c r="F144" i="32" s="1"/>
  <c r="C34" i="12" l="1"/>
  <c r="D33" i="34" l="1"/>
  <c r="D85" i="34" s="1"/>
  <c r="D86" i="34" s="1"/>
  <c r="E33" i="34"/>
  <c r="E85" i="34" s="1"/>
  <c r="E86" i="34" s="1"/>
  <c r="E66" i="16"/>
  <c r="E64" i="16" s="1"/>
  <c r="C33" i="34"/>
  <c r="F66" i="16"/>
  <c r="H66" i="16" s="1"/>
  <c r="I85" i="16"/>
  <c r="D66" i="16"/>
  <c r="D64" i="16" s="1"/>
  <c r="C85" i="34" l="1"/>
  <c r="C86" i="34" s="1"/>
  <c r="C31" i="34"/>
  <c r="C26" i="34" s="1"/>
  <c r="C78" i="34" s="1"/>
  <c r="E31" i="34"/>
  <c r="E26" i="34" s="1"/>
  <c r="E7" i="34" s="1"/>
  <c r="D31" i="34"/>
  <c r="D26" i="34" s="1"/>
  <c r="D78" i="34" s="1"/>
  <c r="B33" i="34"/>
  <c r="C92" i="34"/>
  <c r="D89" i="16"/>
  <c r="C96" i="34"/>
  <c r="D96" i="34"/>
  <c r="E89" i="16"/>
  <c r="E93" i="16" s="1"/>
  <c r="D92" i="34"/>
  <c r="D93" i="34" s="1"/>
  <c r="C66" i="16"/>
  <c r="I66" i="16" s="1"/>
  <c r="F64" i="16"/>
  <c r="C64" i="16" s="1"/>
  <c r="A85" i="34" l="1"/>
  <c r="D7" i="34"/>
  <c r="J5" i="34" s="1"/>
  <c r="E78" i="34"/>
  <c r="E119" i="34" s="1"/>
  <c r="B31" i="34"/>
  <c r="C97" i="34"/>
  <c r="I64" i="16"/>
  <c r="B92" i="34"/>
  <c r="B96" i="34"/>
  <c r="C93" i="34"/>
  <c r="A87" i="34"/>
  <c r="D97" i="34"/>
  <c r="D93" i="16"/>
  <c r="E92" i="34"/>
  <c r="E96" i="34"/>
  <c r="F89" i="16"/>
  <c r="F93" i="16" s="1"/>
  <c r="D125" i="34"/>
  <c r="E95" i="16"/>
  <c r="B34" i="34"/>
  <c r="D77" i="34"/>
  <c r="D119" i="34"/>
  <c r="D122" i="34" s="1"/>
  <c r="E77" i="34" l="1"/>
  <c r="E124" i="34" s="1"/>
  <c r="C89" i="16"/>
  <c r="I89" i="16" s="1"/>
  <c r="C7" i="34"/>
  <c r="B7" i="34" s="1"/>
  <c r="G7" i="34" s="1"/>
  <c r="B26" i="34"/>
  <c r="H26" i="34" s="1"/>
  <c r="E125" i="34"/>
  <c r="E126" i="34" s="1"/>
  <c r="F95" i="16"/>
  <c r="D94" i="34"/>
  <c r="D118" i="34"/>
  <c r="D99" i="34"/>
  <c r="D126" i="34"/>
  <c r="B97" i="34"/>
  <c r="B93" i="34"/>
  <c r="D124" i="34"/>
  <c r="E97" i="34"/>
  <c r="E93" i="34"/>
  <c r="C93" i="16"/>
  <c r="C125" i="34"/>
  <c r="D95" i="16"/>
  <c r="E94" i="34" l="1"/>
  <c r="E99" i="34"/>
  <c r="E118" i="34"/>
  <c r="C77" i="34"/>
  <c r="C119" i="34"/>
  <c r="C122" i="34" s="1"/>
  <c r="B78" i="34"/>
  <c r="B125" i="34"/>
  <c r="I93" i="16"/>
  <c r="C95" i="16"/>
  <c r="I95" i="16" s="1"/>
  <c r="B77" i="34" l="1"/>
  <c r="B119" i="34"/>
  <c r="C118" i="34"/>
  <c r="H124" i="34"/>
  <c r="C99" i="34"/>
  <c r="C126" i="34"/>
  <c r="G77" i="34"/>
  <c r="C94" i="34"/>
  <c r="C124" i="34"/>
  <c r="B118" i="34" l="1"/>
  <c r="B126" i="34"/>
  <c r="H77" i="34"/>
  <c r="B99" i="34"/>
  <c r="G76" i="34"/>
  <c r="G75" i="34" s="1"/>
  <c r="B94" i="34"/>
  <c r="B124" i="34"/>
  <c r="I31" i="12"/>
  <c r="H31" i="12"/>
</calcChain>
</file>

<file path=xl/sharedStrings.xml><?xml version="1.0" encoding="utf-8"?>
<sst xmlns="http://schemas.openxmlformats.org/spreadsheetml/2006/main" count="2665" uniqueCount="451">
  <si>
    <t>หน่วย : ล้านบาท</t>
  </si>
  <si>
    <t>รวมทั้งสิ้น</t>
  </si>
  <si>
    <t>แผน</t>
  </si>
  <si>
    <t>ผล</t>
  </si>
  <si>
    <t xml:space="preserve"> - รายจ่ายอื่น ๆ</t>
  </si>
  <si>
    <t>แผน/</t>
  </si>
  <si>
    <t>รวม</t>
  </si>
  <si>
    <t>ผู้รายงาน..........................................................................</t>
  </si>
  <si>
    <t xml:space="preserve">ตำแหน่ง : </t>
  </si>
  <si>
    <t>ค่าตอบแทน</t>
  </si>
  <si>
    <t>ค่าใช้สอย</t>
  </si>
  <si>
    <t>ค่าวัสดุ</t>
  </si>
  <si>
    <t>แผนงาน/ผลผลิต/โครงการตามแผนยุทธศาสตร์/งบรายจ่าย</t>
  </si>
  <si>
    <t>ผลผลิต/โครงการตามแผนยุทธศาสตร์/งบรายจ่าย/รายการ</t>
  </si>
  <si>
    <t xml:space="preserve">หน่วย : ล้านบาท  </t>
  </si>
  <si>
    <t>หน่วยงาน : สำนักงบประมาณกรุงเทพมหานคร</t>
  </si>
  <si>
    <t>แผนงาน : การเงิน การคลังและงบประมาณ</t>
  </si>
  <si>
    <t>แผน/ผลการปฏิบัติงานและการใช้จ่ายงบประมาณรายจ่ายประจำปีงบประมาณ พ.ศ. 2565</t>
  </si>
  <si>
    <t>ค่าตอบแทนใช้สอยและวัสุด</t>
  </si>
  <si>
    <t>เงินสมทบกองทุนประกันสังคม</t>
  </si>
  <si>
    <t>ค่าอาหารทำการนอกเวลา</t>
  </si>
  <si>
    <t>ค่าเบี้ยประชุม</t>
  </si>
  <si>
    <t>ค่ารับรอง</t>
  </si>
  <si>
    <t>ค่าซ่อมแซมครุภัณฑ์</t>
  </si>
  <si>
    <t>ค่าจ้างบริการแก้ไขระบบฐานข้อมูลด้านงบประมาณ</t>
  </si>
  <si>
    <t>ค่าจ้างบริการบำรุงรักษาเครื่องคอมพิวเตอร์แม่ข่าย</t>
  </si>
  <si>
    <t>ค่าวัสดุอุปกรณ์คอมพิวเตอร์</t>
  </si>
  <si>
    <t>ค่าเครื่องแต่งกาย</t>
  </si>
  <si>
    <t>หน่วย : บาท</t>
  </si>
  <si>
    <t>ค่าซ่อมแซมยานพาหนะ</t>
  </si>
  <si>
    <t>ค่าวัสดุยานพาหนะ</t>
  </si>
  <si>
    <t>แผนการปฏิบัติงานและการใช้จ่ายงบประมาณรายจ่ายประจำปีงบประมาณ พ.ศ. 2565</t>
  </si>
  <si>
    <t>งวดที่ 1 (ต.ค. 2564 - ม.ค. 2565)</t>
  </si>
  <si>
    <t>งวดที่ 2 (ก.พ. - พ.ค. 2565)</t>
  </si>
  <si>
    <t>งวดที่ 3 (มิ.ย. - ก.ย. 2565)</t>
  </si>
  <si>
    <t>ค่าใช้จ่ายในการฝึกอบรมเพื่อเสริมสร้างความรู้</t>
  </si>
  <si>
    <t>และพัฒนาศักยภาพในการปฏิบัติงานด้านงบประมาณของ</t>
  </si>
  <si>
    <t>ข้าราชการสำนักงบประมาณกรุงเทพมหานคร</t>
  </si>
  <si>
    <t>ค่าตอบแทนใช้สอยและวัสดุ</t>
  </si>
  <si>
    <t>งบประมาณตามโครงสร้างผลผลิต</t>
  </si>
  <si>
    <t>ผลผลิตที่ 1 : อำนวยการและบริหารสำนัก</t>
  </si>
  <si>
    <t>1) งบบุคลากร</t>
  </si>
  <si>
    <t>3) งบรายจ่ายอื่น</t>
  </si>
  <si>
    <t>งวดที่ 1
 (ต.ค. 2564 - ม.ค. 2565)</t>
  </si>
  <si>
    <t>งวดที่ 2 
(ก.พ. - พ.ค. 2565)</t>
  </si>
  <si>
    <t>งวดที่ 3 
(มิ.ย. - ก.ย. 2565)</t>
  </si>
  <si>
    <t>ผลผลิตที่ 1 : งบประมาณ</t>
  </si>
  <si>
    <t>รวมงบประมาณตามโครงสร้างผลผลิต</t>
  </si>
  <si>
    <t xml:space="preserve">                 1) งบบุคลากร</t>
  </si>
  <si>
    <t xml:space="preserve">                 2) งบดำเนินงาน</t>
  </si>
  <si>
    <t>แผนงานบริหารงานกรุงเทพมหานคร</t>
  </si>
  <si>
    <t>2) งบดำเนินงาน</t>
  </si>
  <si>
    <t>แผนงานการเงิน การคลังและงบประมาณ</t>
  </si>
  <si>
    <t xml:space="preserve">                 3) งบรายจ่ายอื่น</t>
  </si>
  <si>
    <t>หน่วยงาน   สำนักงบประมาณกรุงเทพมหานคร</t>
  </si>
  <si>
    <t>หน่วยงาน : สำนักงานเขตคลองสามวา</t>
  </si>
  <si>
    <t xml:space="preserve">         ค่าวัสดุสำนักงานประเภทเครื่องเขียน แบบพิมพ์</t>
  </si>
  <si>
    <t xml:space="preserve">         ค่าซ่อมแซมยานพาหนะ</t>
  </si>
  <si>
    <t xml:space="preserve">         ค่าซ่อมแซมครุภัณฑ์</t>
  </si>
  <si>
    <t>แผนจริง 267,060.-</t>
  </si>
  <si>
    <t>แผนงาน : การโยธา</t>
  </si>
  <si>
    <t xml:space="preserve">         ค่าซ่อมแซมถนน ตรอก ซอย สะพานและสิ่งสาธารณประโยชน์</t>
  </si>
  <si>
    <t xml:space="preserve">         ค่าซ่อมแซมไฟฟ้าสาธารณะ</t>
  </si>
  <si>
    <t xml:space="preserve">         ค่าวัสดุก่อสร้าง</t>
  </si>
  <si>
    <t xml:space="preserve">         ค่าวัสดุสำหรับหน่วยบริการเร่งด่วนกรุงเทพมหานคร BEST</t>
  </si>
  <si>
    <t xml:space="preserve">         ค่าใช้จ่ายในการซ่อมแซมบำรุงรักษาถนน ตรอก ซอย และสิ่งสาธารณประโยชน์ </t>
  </si>
  <si>
    <t xml:space="preserve">         เพื่อแก้ไขปัญหาความเดือดร้อนของประชาชน</t>
  </si>
  <si>
    <t>ผลผลิตที่ 2 : อนุญาตก่อสร้าง ควบคุมอาคารและผังเมือง</t>
  </si>
  <si>
    <t>ผลผลิตที่ 3 : บำรุงรักษาซ่อมแซฒ</t>
  </si>
  <si>
    <t>แผนงาน : ระบายน้ำ</t>
  </si>
  <si>
    <t xml:space="preserve">         ค่าวัสดุอุปกรณ์ป้องกันอุบัติภัย</t>
  </si>
  <si>
    <t xml:space="preserve">         ค่าวัสดุอุปกรณ์ทำความสะอาดท่อระบายน้ำ</t>
  </si>
  <si>
    <t xml:space="preserve">         ค่าวัสดุอุปกรณ์บำรุงรักษาระบบระบายน้ำ (ฝาท่อ)</t>
  </si>
  <si>
    <t>ผลผลิตที่ 4 : ระบายน้ำและแก้ไขปัญหาน้ำท่วม</t>
  </si>
  <si>
    <t>แผนงาน : สิ่งแวดล้อมฯ</t>
  </si>
  <si>
    <t xml:space="preserve">         ค่าจ้างเหมาบริการเป็นรายบุคคลโครงการจ้างเจ้าหน้าที่เพื่อปฏิบัติงาน</t>
  </si>
  <si>
    <t xml:space="preserve">            ในโครงการตรวจสอบหาสารเคมีที่ตกค้างในผักสด</t>
  </si>
  <si>
    <t xml:space="preserve">         ค่าจ้างเหมาบริการเป็นรายบุคคลโครงการจ้างเจ้าหน้าที่เพื่อปฏิบัติงานในกรุงเทพฯ</t>
  </si>
  <si>
    <t xml:space="preserve">            เมืองอาหารปลอดภัย</t>
  </si>
  <si>
    <t xml:space="preserve">         ค่าจ้างเหมาบริการเป็นรายบุคคลโครงการจ้างงานเพื่อพัฒนาคุณภาพงานสุขาภิบาล</t>
  </si>
  <si>
    <t xml:space="preserve">   อาหารในกรุงเทพมหานคร</t>
  </si>
  <si>
    <t>ค่าตัวอย่างอาหาร</t>
  </si>
  <si>
    <t xml:space="preserve">ค่าวัสดุสำนักงานประเภทเครื่องเขียน แบบพิมพ์ </t>
  </si>
  <si>
    <t xml:space="preserve">         ค่าใช้จ่ายโครงการกรุงเทพฯ เมืองอาหารปลอดภัย</t>
  </si>
  <si>
    <t xml:space="preserve">         ค่าใช้จ่ายโครงการกรุงเทพฯ เมืองแห่งสุขาภิบาลสิ่งแวดล้อมที่ดี สะอาด ปลอดภัย</t>
  </si>
  <si>
    <t xml:space="preserve">         ค่าใช้จ่ายโครงการกรุงเทพมหานครเขตปลอดบุหรี่</t>
  </si>
  <si>
    <t xml:space="preserve">         ค่าใช้จ่ายในการบูรณาการความร่วมมือในการพัฒนาประสิทธิภาพการแก้ไขปัญหา</t>
  </si>
  <si>
    <t xml:space="preserve">   โรคไข้เลือดออกในพื้นที่กรุงเทพมหานคร</t>
  </si>
  <si>
    <t>ผลผลิตที่ 1 : สุขาภิบาลและอนามัยสิ่งแวดล้อมฯ</t>
  </si>
  <si>
    <t>ผลผลิตที่ 1 : บริหารทั่วไปสิ่งแวดล้อมและสุขาภิบาล</t>
  </si>
  <si>
    <t>ผลผลิตที่ 1 : ป้องกันและควบคุมโรค</t>
  </si>
  <si>
    <t>ผลผลิตที่ 1 : งานบริหารทั่วไปฝ่ายการศึกษา</t>
  </si>
  <si>
    <t>แผนงาน : บริหารการศึกษา งานบริหารทั่วไปฝ่ายการศึกษา</t>
  </si>
  <si>
    <t>หน่วยงาน : ฝ่ายการศึกษา สำนักงานเขตคลองสามวา</t>
  </si>
  <si>
    <t>แผน/ผลการปฏิบัติงานและการใช้จ่ายงบประมาณรายจ่ายประจำปีงบประมาณ พ.ศ. 2564</t>
  </si>
  <si>
    <t>4)งบรายจ่ายอื่นๆ</t>
  </si>
  <si>
    <t>3)งบเงินอุดหนุน</t>
  </si>
  <si>
    <t>ผลผลิตที่ 1 : งานงบประมาณโรงเรียน</t>
  </si>
  <si>
    <t>แผนงาน : บริหารการศึกษา งานงบประมาณโรงเรียน</t>
  </si>
  <si>
    <r>
      <rPr>
        <b/>
        <sz val="16"/>
        <color theme="1"/>
        <rFont val="TH Sarabun New"/>
        <family val="2"/>
      </rPr>
      <t xml:space="preserve">      </t>
    </r>
    <r>
      <rPr>
        <b/>
        <u/>
        <sz val="16"/>
        <color theme="1"/>
        <rFont val="TH Sarabun New"/>
        <family val="2"/>
      </rPr>
      <t>ค่าตอบแทนใช้สอยและวัสดุ</t>
    </r>
  </si>
  <si>
    <t xml:space="preserve">         ค่าใช้สอย</t>
  </si>
  <si>
    <t xml:space="preserve">         - เงินสมทบกองทุนประกันสังคม</t>
  </si>
  <si>
    <t xml:space="preserve">         ค่าวัสดุ</t>
  </si>
  <si>
    <t xml:space="preserve">          - ค่าเครื่องแต่งกาย</t>
  </si>
  <si>
    <r>
      <rPr>
        <b/>
        <sz val="16"/>
        <color theme="1"/>
        <rFont val="TH Sarabun New"/>
        <family val="2"/>
      </rPr>
      <t xml:space="preserve">     </t>
    </r>
    <r>
      <rPr>
        <b/>
        <u/>
        <sz val="16"/>
        <color theme="1"/>
        <rFont val="TH Sarabun New"/>
        <family val="2"/>
      </rPr>
      <t>ค่าตอบแทนใช้สอยและวัสดุ</t>
    </r>
  </si>
  <si>
    <t xml:space="preserve">         ค่าตอบแทน</t>
  </si>
  <si>
    <t xml:space="preserve">         - ค่าอาหารทำการนอกเวลา</t>
  </si>
  <si>
    <t xml:space="preserve">         - ค่าตอบแทนครูผู้สอนศาสนาอิสลามในโรงเรียนสังกัดกรุงเทพมหานคร</t>
  </si>
  <si>
    <t xml:space="preserve">         - ค่านิตยภัต</t>
  </si>
  <si>
    <t xml:space="preserve">        - ค่าซ่อมแซมเครื่องดนตรีและอุปกรณ์</t>
  </si>
  <si>
    <t xml:space="preserve">        - ค่าซ่อมแซมยานพาหนะ</t>
  </si>
  <si>
    <t xml:space="preserve">        ค่าวัสดุ</t>
  </si>
  <si>
    <t xml:space="preserve">        - ค่าซ่อมแซมโรงเรียน</t>
  </si>
  <si>
    <t xml:space="preserve">        - ค่าซ่อมแซมครุภัณฑ์โรงเรียนขยายโอกาส</t>
  </si>
  <si>
    <t xml:space="preserve">        - ค่าซ่อมแซมครุภัณฑ์และอาคารสำนักงาน</t>
  </si>
  <si>
    <t xml:space="preserve">        - ค่าจ้างทำความสะอาดอาคารโรงเรียนสังกัดกรุงเทพมหานคร</t>
  </si>
  <si>
    <t xml:space="preserve">        - ค่าจ้างเหมาดูแลทรัพย์สินและรักษาความปลอดภัยในโรงเรียนสังกัดกรุงเทพมหานคร</t>
  </si>
  <si>
    <t xml:space="preserve">        - ค่าซ่อมแซมเครื่องคอมพิวเตอร์โรงเรียน</t>
  </si>
  <si>
    <t xml:space="preserve">        - ค่าวัสดุแบบพิมพ์ของโรงเรียน</t>
  </si>
  <si>
    <t xml:space="preserve">        - ค่าวัสดุสำนักงานประเภทเครื่องเขียน แบบพิมพ์</t>
  </si>
  <si>
    <t xml:space="preserve">        - ค่าวัสดุอุปกรณ์เครื่องคอมพิวเตอร์</t>
  </si>
  <si>
    <t xml:space="preserve">        - ค่าวัสดุยานพาหนะ</t>
  </si>
  <si>
    <t xml:space="preserve">        - ค่าวัสดุการสอนวิทยาศาสตร์ชั้นประถมศึกษา</t>
  </si>
  <si>
    <t xml:space="preserve">        - ค่าวัสดุอุปกรณ์การสอน (โครงการขยายโอกาสฯ)</t>
  </si>
  <si>
    <t xml:space="preserve">        - ค่าวัสดุ อุปกรณ์ เครื่องใช้ส่วนตัว ของเด็กอนุบาล</t>
  </si>
  <si>
    <t xml:space="preserve">        - ค่าสารกรองเครื่องกรองน้ำ</t>
  </si>
  <si>
    <t xml:space="preserve">        - ค่าเครื่องหมายวิชาพิเศษลูกเสือ เนตรนารี ยุวกาชาด</t>
  </si>
  <si>
    <t xml:space="preserve">        - ค่าวัสดุในการผลิตสื่อการเรียนการสอนตามโครงการศูนย์วิชาการเขต</t>
  </si>
  <si>
    <t xml:space="preserve">        - ค่าเครื่องหมายสัญลักษณ์ของสถานศึกษาสังกัดกรุงเทพมหานคร</t>
  </si>
  <si>
    <t xml:space="preserve">        - ทุนอาหารกลางวันนักเรียน</t>
  </si>
  <si>
    <t xml:space="preserve">        - ค่าอาหารเช้าของนักเรียนในโรงเรียนสังกัดกรุงเทพมหานคร</t>
  </si>
  <si>
    <t>3.)เงินอุดหนุน</t>
  </si>
  <si>
    <t xml:space="preserve">         - ค่าเครื่องแต่งกาย</t>
  </si>
  <si>
    <t xml:space="preserve">        - ค่าอาหารทำการนอกเวลา</t>
  </si>
  <si>
    <t xml:space="preserve">        - ค่าตอบแทนครูผู้สอนศาสนาอิสลามในโรงเรียนสังกัดกรุงเทพมหานคร</t>
  </si>
  <si>
    <t xml:space="preserve">        - ค่านิตยภัต</t>
  </si>
  <si>
    <t xml:space="preserve">         - ค่าวัสดุแบบพิมพ์ของโรงเรียน</t>
  </si>
  <si>
    <t xml:space="preserve">         - ค่าวัสดุสำนักงานประเภทเครื่องเขียน แบบพิมพ์</t>
  </si>
  <si>
    <t xml:space="preserve">         - ค่าวัสดุอุปกรณ์เครื่องคอมพิวเตอร์</t>
  </si>
  <si>
    <t xml:space="preserve">         - ค่าวัสดุยานพาหนะ</t>
  </si>
  <si>
    <t xml:space="preserve">         - ค่าวัสดุการสอนวิทยาศาสตร์ชั้นประถมศึกษา</t>
  </si>
  <si>
    <t xml:space="preserve">         - ค่าวัสดุอุปกรณ์การสอน (โครงการขยายโอกาสฯ)</t>
  </si>
  <si>
    <t xml:space="preserve">         - ค่าวัสดุ อุปกรณ์ เครื่องใช้ส่วนตัว ของเด็กอนุบาล</t>
  </si>
  <si>
    <t xml:space="preserve">         - ค่าสารกรองเครื่องกรองน้ำ</t>
  </si>
  <si>
    <t xml:space="preserve">         - ค่าเครื่องหมายวิชาพิเศษลูกเสือ เนตรนารี ยุวกาชาด</t>
  </si>
  <si>
    <t xml:space="preserve">         - ค่าวัสดุในการผลิตสื่อการเรียนการสอนตามโครงการศูนย์วิชาการเขต</t>
  </si>
  <si>
    <t xml:space="preserve">         - ค่าเครื่องหมายสัญลักษณ์ของสถานศึกษาสังกัดกรุงเทพมหานคร</t>
  </si>
  <si>
    <t xml:space="preserve">        - ค่าใช้จ่ายในการประชุมครู</t>
  </si>
  <si>
    <t xml:space="preserve">        - ค่าใช้จ่ายในการฝึกอบรมนายหมู่ลูกเสือสามัญสามัญรุ่นใหญ่และหัวหน้าหน่วยยุวกาชาด</t>
  </si>
  <si>
    <t xml:space="preserve">        - ค่าใช้จ่ายในการพัฒนาคุณภาพการดำเนินงานศูนย์วิชาการเขต</t>
  </si>
  <si>
    <t xml:space="preserve">        - ค่าใช้จ่ายในการจัดประชุมสัมนาคณะกรรมการสถานศึกษาขั้นพื้นฐานโรงเรียน</t>
  </si>
  <si>
    <t xml:space="preserve">          สังกัดกรุงเทพมหานคร</t>
  </si>
  <si>
    <t xml:space="preserve">        - ค่าใช้จ่ายในการสัมมนาประธานกรรมการเครือข่ายผู้ปกครองเพื่อพัฒนาโรงเรียน</t>
  </si>
  <si>
    <t xml:space="preserve">        - ค่าใช้จ่ายในการส่งเสริมสนับสนุนให้นักเรียนสร้างสรรค์ผลงานเพื่อการเรียนรู้</t>
  </si>
  <si>
    <t xml:space="preserve">        - ค่าใช้จ่ายโครงการเกษตรปลอดสารพิษ</t>
  </si>
  <si>
    <t xml:space="preserve">        - ค่าใช้จ่ายตามโครงการเรียนฟรี เรียนดีอย่างมีคุณภาพ โรงเรียนสังกัดกรุงเทพมหานคร</t>
  </si>
  <si>
    <t xml:space="preserve">        - ค่าใช้จ่ายในการสอนภาษามลายู</t>
  </si>
  <si>
    <t>ผลผลิตที่ 1 : บริหารงานทั่วไปฝ่ายโยธา</t>
  </si>
  <si>
    <t>หน่วยงาน :อนามัยสิ่งแวดล้อม</t>
  </si>
  <si>
    <t xml:space="preserve"> </t>
  </si>
  <si>
    <t>- ค่าอาหารทำการนอกเวลา</t>
  </si>
  <si>
    <t>- ค่าซ่อมแซมยานพาหนะ</t>
  </si>
  <si>
    <t>- ค่าซ่อมแซมครุภัณฑ์</t>
  </si>
  <si>
    <t>- ค่าจ้างเหมาบริการเป็นรายบุคคล</t>
  </si>
  <si>
    <t>- ค่าวัสดุอุปกรณ์คอมพิวเตอร์</t>
  </si>
  <si>
    <t>- ค่าวัสดุยานพาหนะ</t>
  </si>
  <si>
    <t>- ค่าเครื่องแต่งกาย</t>
  </si>
  <si>
    <t>- เงินสมทบกองทุนประกันสังคม</t>
  </si>
  <si>
    <t>- ค่าเบี้ยประชุม</t>
  </si>
  <si>
    <t>- ค่ารับรอง</t>
  </si>
  <si>
    <t xml:space="preserve">         - ค่าชุดปฎิบัติงานเทศกิจ</t>
  </si>
  <si>
    <t>2) งบรายจ่ายอื่น</t>
  </si>
  <si>
    <t>ฝ่ายปกครอง</t>
  </si>
  <si>
    <t>- ค่าจ้างเหมากำจัดปลวก มด แมลงสาบ</t>
  </si>
  <si>
    <t>- ค่าบำรุงรักษาซ่อมแซมเครื่องปรับอากาศ</t>
  </si>
  <si>
    <t>- ค่าจ้างเหมาดูแลทรัพย์สินและรักษาความปลอดภัย</t>
  </si>
  <si>
    <t>- ค่าวัสดุไฟฟ้า ประปา งานบ้าน งานครัว และงานสวน</t>
  </si>
  <si>
    <t>- ค่าซื้อหนังสือ วารสารฯ</t>
  </si>
  <si>
    <t>ฝ่ายทะเบียน</t>
  </si>
  <si>
    <t>ฝ่ายการคลัง</t>
  </si>
  <si>
    <t>ฝ่ายรายได้</t>
  </si>
  <si>
    <t>ฝ่ายเทศกิจ</t>
  </si>
  <si>
    <t>ฝ่ายโยธา</t>
  </si>
  <si>
    <t>ฝ่ายสิ่งแวดล้อมฯ</t>
  </si>
  <si>
    <t>ฝ่ายพัฒนาชุมชนและสวัสดิการสังคม</t>
  </si>
  <si>
    <t>ฝ่ายรักษาความสะอาดและสวนสาธารณะ</t>
  </si>
  <si>
    <t>- เงินตอบแทนพิเศษของข้าราชการ</t>
  </si>
  <si>
    <t>- ค่าจ้างทำความสะอาดอาคาร</t>
  </si>
  <si>
    <t>- ค่าวัสดุประชาสัมพันธ์</t>
  </si>
  <si>
    <t>ผลผลิตที่ 2 : ตรวจและบังคับใช้กฎหมาย</t>
  </si>
  <si>
    <t>ฝ่าย/งาน/โครงการตามแผนยุทธศาสตร์/งบรายจ่าย</t>
  </si>
  <si>
    <t>งวดที่ 1 (ต.ค. - ม.ค.)</t>
  </si>
  <si>
    <t>งวดที่ 2 (ก.พ. - พ.ค.)</t>
  </si>
  <si>
    <t>งวดที่ 3 (มิ.ย. - ก.ย.)</t>
  </si>
  <si>
    <t>งบประมาณตามโครงสร้างงาน</t>
  </si>
  <si>
    <t>งานที่ 1 : อำนวยการและบริหารสำนักงานเขต</t>
  </si>
  <si>
    <t>งานที่ 2 : ปกครอง</t>
  </si>
  <si>
    <t>งบประมาณสำนักสนับสนุนให้สำนักงานเขต</t>
  </si>
  <si>
    <t>งานที่ 1 : บริหารทั่วไปและบริการทะเบียน</t>
  </si>
  <si>
    <t>งานที่ 1 : บริหารงานทั่วไปและบริหารการคลัง</t>
  </si>
  <si>
    <t>งานที่ 1 : บริหารงานทั่วไปและจัดเก็บรายได้</t>
  </si>
  <si>
    <t>งานที่ 1 : บริหารงานทั่วไปฝ่ายรักษาความสะอาด</t>
  </si>
  <si>
    <t>งานที่ 2 : กวาดทำความสะอาดที่และทางสาธารณะ</t>
  </si>
  <si>
    <t>งานที่ 3 : เก็บขยะมูลฝอยและขนถ่ายสิ่งปฏิกูล</t>
  </si>
  <si>
    <t>งานที่ 4 : ดูแลสวนและพื้นที่สีเขียว</t>
  </si>
  <si>
    <t>งานที่ 1 : บริหารทั่วไปและสอบสวนดำเนินคดี</t>
  </si>
  <si>
    <t>งานที่ 2 : ตรวจและบังคับใช้กฎหมาย</t>
  </si>
  <si>
    <t>งานที่ 1 : บริหารทั่วไปฝ่ายโยธา</t>
  </si>
  <si>
    <t>งานที่ 2 : อนุญาตก่อสร้าง ควบคุมอาคารและผังเมือง</t>
  </si>
  <si>
    <t>งานที่ 3 : บำรุงรักษาซ่อมแซม</t>
  </si>
  <si>
    <t>งานที่ 4 : ระบายน้ำและแก้ไขปัญหาน้ำท่วม</t>
  </si>
  <si>
    <t>งานที่ 1 : บริหารทั่วไปฝ่ายพัฒนาชุมชน</t>
  </si>
  <si>
    <t>งานที่ 2 : พัฒนาชุมชนและบริการสังคม</t>
  </si>
  <si>
    <t>ฝ่ายสิ่งแวดล้อมและสุขาภิบาล</t>
  </si>
  <si>
    <t>งานที่ 1 : บริหารทั่วไปฝ่ายสิ่งแวดล้อมและสุขาภิบาล</t>
  </si>
  <si>
    <t>งานที่ 2 : สุขาภิบาลอาหารและอนามัยสิ่งแวดล้อม</t>
  </si>
  <si>
    <t>งานที่ 3 : ป้องกันและควบคุมโรค</t>
  </si>
  <si>
    <t>ฝ่ายการศึกษา</t>
  </si>
  <si>
    <t>งานที่ 1 : บริหารทั่วไปฝ่ายการศึกษา</t>
  </si>
  <si>
    <t>งานที่ 2 : งบประมาณโรงเรียน</t>
  </si>
  <si>
    <t xml:space="preserve">                 3) งบอุดหนุน</t>
  </si>
  <si>
    <t xml:space="preserve">                 4) งบรายจ่ายอื่น</t>
  </si>
  <si>
    <t>รวมงบประมาณตามโครงสร้างงาน</t>
  </si>
  <si>
    <t>รวมงบประมาณสำนักสนับสนุนให้สำนักงานเขต</t>
  </si>
  <si>
    <t>หน่วยงาน : สำนักงานคลองสามวา</t>
  </si>
  <si>
    <t>ผู้รายงาน นางรุ่งนภา ตั้งศิริจิตร</t>
  </si>
  <si>
    <t>ผู้รายงาน นางสาวเกษร ดีด้วยมี</t>
  </si>
  <si>
    <t>ผู้รายงาน นางสาวนันทวิภา  พาบัว</t>
  </si>
  <si>
    <t>ผู้รายงาน นางเสาร์วรี  โพธิ์สวัสดิ์</t>
  </si>
  <si>
    <t>ผู้รายงาน นางสาววราภรณ์  ทีปะสมบัติ</t>
  </si>
  <si>
    <t>ผู้รายงาน นางภิภาพร  ทิวะกะลิน</t>
  </si>
  <si>
    <t>ผู้รายงาน นางสาวจันทรัตน์ ขนมงคล</t>
  </si>
  <si>
    <t xml:space="preserve">  - 2 -</t>
  </si>
  <si>
    <t xml:space="preserve">  - 3 -</t>
  </si>
  <si>
    <t xml:space="preserve">  - 4 -</t>
  </si>
  <si>
    <r>
      <rPr>
        <b/>
        <sz val="16"/>
        <rFont val="TH Sarabun New"/>
        <family val="2"/>
      </rPr>
      <t xml:space="preserve">     </t>
    </r>
    <r>
      <rPr>
        <b/>
        <u/>
        <sz val="16"/>
        <rFont val="TH Sarabun New"/>
        <family val="2"/>
      </rPr>
      <t>ค่าตอบแทนใช้สอยและวัสดุ</t>
    </r>
  </si>
  <si>
    <t>ผู้รายงาน : ………...………………………………...…..</t>
  </si>
  <si>
    <t>หัวหน้าหน่วยงาน  : ..........................................................</t>
  </si>
  <si>
    <t>ผู้พิจารณา : ........................................................</t>
  </si>
  <si>
    <t xml:space="preserve">ผู้ให้ความเห็นชอบ  : ........................................................... </t>
  </si>
  <si>
    <t xml:space="preserve">   (                                     )</t>
  </si>
  <si>
    <t>วัน/เดือน/ปี   :                                  โทร:</t>
  </si>
  <si>
    <t>วัน/เดือน/ปี   :                            โทร:</t>
  </si>
  <si>
    <t>วัน/เดือน/ปี   :                           โทร : 02-548-0317 หรือ 5104</t>
  </si>
  <si>
    <t xml:space="preserve">                 (                                  )</t>
  </si>
  <si>
    <t xml:space="preserve">     (                                    )</t>
  </si>
  <si>
    <t xml:space="preserve">                  (                                     )</t>
  </si>
  <si>
    <t>ค่าตอบแทนฯ</t>
  </si>
  <si>
    <t>งบเงินอุดหนุน</t>
  </si>
  <si>
    <t>รายจ่ายอื่น</t>
  </si>
  <si>
    <t>งวดที่ 1</t>
  </si>
  <si>
    <t>งวดที่ 2</t>
  </si>
  <si>
    <t>งวดที่ 3</t>
  </si>
  <si>
    <t>- ค่าวัสดุน้ำมันเชื้อเพลิงและน้ำมันหล่อลื่น</t>
  </si>
  <si>
    <r>
      <rPr>
        <b/>
        <sz val="16"/>
        <rFont val="TH SarabunPSK"/>
        <family val="2"/>
      </rPr>
      <t xml:space="preserve">     </t>
    </r>
    <r>
      <rPr>
        <b/>
        <u/>
        <sz val="16"/>
        <rFont val="TH SarabunPSK"/>
        <family val="2"/>
      </rPr>
      <t>ค่าตอบแทนใช้สอยและวัสดุ</t>
    </r>
  </si>
  <si>
    <t>ยอดตามข้อบัญญัติ</t>
  </si>
  <si>
    <t>แผนการปฏิบัติงานและการใช้จ่ายงบประมาณรายจ่ายประจำปีงบประมาณ พ.ศ. 2566</t>
  </si>
  <si>
    <t>การจัดบริการของสำนักงานเขต</t>
  </si>
  <si>
    <t>งานรายจ่ายบุคลากร</t>
  </si>
  <si>
    <t xml:space="preserve">                 1) งบดำเนินงาน</t>
  </si>
  <si>
    <t>ผู้รายงาน นางลัดดา งานนันไชย</t>
  </si>
  <si>
    <t>ผู้รายงาน นางสาวรวินันท์ เนาวัฒน์</t>
  </si>
  <si>
    <t xml:space="preserve"> - ค่าอาหารทำการนอกเวลา</t>
  </si>
  <si>
    <t xml:space="preserve"> - ค่าซ่อมแซมยานพาหนะ</t>
  </si>
  <si>
    <t xml:space="preserve"> - ค่าซ่อมแซมครุภัณฑ์</t>
  </si>
  <si>
    <t xml:space="preserve"> - ค่าจ้างเหมาบริการเป็นรายบุคคล </t>
  </si>
  <si>
    <t xml:space="preserve"> - ค่าวัสดุน้ำมันเชื้อเพลิงและน้ำมันหล่อลื่น</t>
  </si>
  <si>
    <t xml:space="preserve"> - ค่าวัสดุอุปกรณ์คอมพิวเตอร์</t>
  </si>
  <si>
    <t xml:space="preserve"> - ค่าวัสดุยานพาหนะ</t>
  </si>
  <si>
    <t xml:space="preserve"> - ค่าเครื่องแต่งกาย</t>
  </si>
  <si>
    <t xml:space="preserve"> - ค่าตอบแทนเจ้าหน้าที่เก็บขนมูลฝอย</t>
  </si>
  <si>
    <t xml:space="preserve"> - ค่าตอบแทนเจ้าหน้าที่เก็บขนสิ่งปฏิกูล</t>
  </si>
  <si>
    <t xml:space="preserve"> - ค่าซ่อมแซมเครื่องจักรกลและเครื่องทุ่นแรง</t>
  </si>
  <si>
    <t xml:space="preserve"> - ค่าวัสดุป้องกันอุบัติภัย</t>
  </si>
  <si>
    <t xml:space="preserve"> - ค่าวัสดุอุปกรณ์ในการขนถ่ายสิ่งปฏิกูล</t>
  </si>
  <si>
    <t xml:space="preserve"> - ค่าเครื่องแบบชุดปฏิบัติงาน</t>
  </si>
  <si>
    <t xml:space="preserve"> - ค่าวัสดุอุปกรณ์ในการปลูกและบำรุงรักษาต้นไม้</t>
  </si>
  <si>
    <t xml:space="preserve"> - ค่าเบี้ยประชุม</t>
  </si>
  <si>
    <t xml:space="preserve"> - ค่าวัสดุเครื่องจักรกลและเครื่องทุ่นแรง</t>
  </si>
  <si>
    <t xml:space="preserve"> - ค่าวัสดุก่อสร้าง</t>
  </si>
  <si>
    <t xml:space="preserve"> - ค่าซ่อมแซมถนน ตรอก ซอย สะพานและสิ่งสาธารณประโยชน์</t>
  </si>
  <si>
    <t xml:space="preserve"> - ค่าซ่อมแซมไฟฟ้าสาธารณะ</t>
  </si>
  <si>
    <t xml:space="preserve"> - ค่าจ้างเหมาล้างทำความสะอาดท่อระบายน้ำ</t>
  </si>
  <si>
    <t xml:space="preserve"> - ค่าวัสดุอุปกรณ์ทำความสะอาดท่อระบายน้ำ</t>
  </si>
  <si>
    <t xml:space="preserve"> - ค่าวัสดุอุปกรณ์บำรุงรักษาระบบระบายน้ำ (ฝาท่อ)</t>
  </si>
  <si>
    <t xml:space="preserve"> - ค่าตอบแทนอาสาสมัครผู้ดูแลเด็ก</t>
  </si>
  <si>
    <t xml:space="preserve"> - ค่าตอบแทนอาสาสมัครห้องสมุด/บ้านหนังสือ</t>
  </si>
  <si>
    <t xml:space="preserve"> - ค่าเบี้ยเลี้ยงและค่าพาหนะ</t>
  </si>
  <si>
    <t xml:space="preserve"> - ค่ารับรอง</t>
  </si>
  <si>
    <t xml:space="preserve"> - ค่าจ้างเหมาบริการเป็นรายบุคคล</t>
  </si>
  <si>
    <t xml:space="preserve"> - ค่าวัสดุสำหรับบ้านหนังสือ</t>
  </si>
  <si>
    <t xml:space="preserve"> - ค่าใช้จ่ายในการสนับสนุนการดำเนินงานของคณะกรรมการชุมชน</t>
  </si>
  <si>
    <t xml:space="preserve"> - ค่าใช้จ่ายโครงการรู้ใช้ รู้เก็บ คนกรุงเทพฯ ชีวิตมั่นคง</t>
  </si>
  <si>
    <t xml:space="preserve"> - ค่าใช้จ่ายในการส่งเสริมการท่องเที่ยวเขตคลองสามวา</t>
  </si>
  <si>
    <t xml:space="preserve"> - ค่าใช้จ่ายในการจ้างงานคนพิการเพื่อปฏิบัติงาน</t>
  </si>
  <si>
    <t xml:space="preserve"> - ค่าใช้จ่ายในการส่งเสริมกิจกรรมสโมสรกีฬาและลานกีฬา</t>
  </si>
  <si>
    <t xml:space="preserve"> - ค่าใช้จ่ายในการดำเนินงานศูนย์บริการและถ่ายทอดเทคโนโลยีการเกษตร</t>
  </si>
  <si>
    <t xml:space="preserve"> - ค่าใช้จ่ายในการจัดกิจกรรมครอบครัวรักการอ่าน</t>
  </si>
  <si>
    <t xml:space="preserve"> - ค่าตัวอย่างอาหาร</t>
  </si>
  <si>
    <t xml:space="preserve"> - ค่าใช้จ่ายโครงการกรุงเทพฯ เมืองอาหารปลอดภัย</t>
  </si>
  <si>
    <t xml:space="preserve">           - ค่าอาหารทำการนอกเวลา</t>
  </si>
  <si>
    <t xml:space="preserve">           - ค่าตอบแทนครูผู้สอนศาสนาอิสลามในโรงเรียนสังกัดกรุงเทพมหานคร</t>
  </si>
  <si>
    <t xml:space="preserve">           - ค่านิตยภัต</t>
  </si>
  <si>
    <t xml:space="preserve">          - ค่าซ่อมแซมเครื่องดนตรีและอุปกรณ์</t>
  </si>
  <si>
    <t xml:space="preserve">          - ค่าซ่อมแซมยานพาหนะ</t>
  </si>
  <si>
    <t xml:space="preserve">          - ค่าซ่อมแซมโรงเรียน</t>
  </si>
  <si>
    <t xml:space="preserve">          - ค่าซ่อมแซมครุภัณฑ์โรงเรียนขยายโอกาส</t>
  </si>
  <si>
    <t xml:space="preserve">          - ค่าซ่อมแซมครุภัณฑ์</t>
  </si>
  <si>
    <t xml:space="preserve">   - ค่าวัสดุน้ำมันเชื้อเพลิงและน้ำมันหล่อลื่น</t>
  </si>
  <si>
    <t xml:space="preserve">          - ค่าวัสดุอุปกรณ์เครื่องคอมพิวเตอร์</t>
  </si>
  <si>
    <t xml:space="preserve">          - ค่าวัสดุยานพาหนะ</t>
  </si>
  <si>
    <t xml:space="preserve">          - ค่าวัสดุ อุปกรณ์ เครื่องใช้ส่วนตัว ของเด็กอนุบาล</t>
  </si>
  <si>
    <t xml:space="preserve">          - ค่าเครื่องหมายวิชาพิเศษลูกเสือ เนตรนารี ยุวกาชาด</t>
  </si>
  <si>
    <t xml:space="preserve">          - ค่าวัสดุในการผลิตสื่อการเรียนการสอนตามโครงการศูนย์วิชาการเขต</t>
  </si>
  <si>
    <t xml:space="preserve">         - ทุนอาหารกลางวันนักเรียน</t>
  </si>
  <si>
    <t xml:space="preserve">         - ค่าใช้จ่ายในการประชุมครู</t>
  </si>
  <si>
    <t xml:space="preserve">         - ค่าใช้จ่ายในการพัฒนาคุณภาพการดำเนินงานศูนย์วิชาการเขต</t>
  </si>
  <si>
    <t xml:space="preserve">           สังกัดกรุงเทพมหานคร</t>
  </si>
  <si>
    <t xml:space="preserve">         - ค่าใช้จ่ายในการสัมมนาประธานกรรมการเครือข่ายผู้ปกครองเพื่อพัฒนาโรงเรียน</t>
  </si>
  <si>
    <t xml:space="preserve">         - ค่าใช้จ่ายในการส่งเสริมสนับสนุนให้นักเรียนสร้างสรรค์ผลงานเพื่อการเรียนรู้</t>
  </si>
  <si>
    <t xml:space="preserve">         - ค่าใช้จ่ายโครงการเกษตรปลอดสารพิษ</t>
  </si>
  <si>
    <t xml:space="preserve">         - ค่าใช้จ่ายในการสอนภาษามลายู</t>
  </si>
  <si>
    <t xml:space="preserve">         - ค่าใช้จ่ายในการสอนภาษาจีน</t>
  </si>
  <si>
    <t xml:space="preserve">         - ค่าใช้จ่ายในการสอนภาษาอาหรับ</t>
  </si>
  <si>
    <t xml:space="preserve">         - ค่าใช้จ่ายในการสอนภาษาญี่ปุ่น</t>
  </si>
  <si>
    <t xml:space="preserve">         - ค่าใช้จ่ายโครงการภาษาอังกฤษเพื่อทักษะชีวิต</t>
  </si>
  <si>
    <t xml:space="preserve">         - ค่าใช้จ่ายในการสนับสนุนการสอนในศูนย์ศึกษาพระพุทธศาสนาวันอาทิตย์</t>
  </si>
  <si>
    <t xml:space="preserve">         - ค่าใช้จ่ายในการพัฒนาคุณภาพเครือข่ายโรงเรียนสังกัดกรุงเทพมหานคร</t>
  </si>
  <si>
    <t>- เงินสมทบกองทุนเงินทดแทน</t>
  </si>
  <si>
    <t>ผู้รายงาน นางสาวจิณาภา  เพชรแอ</t>
  </si>
  <si>
    <t xml:space="preserve">                 2) งบรายจ่ายอื่น</t>
  </si>
  <si>
    <t xml:space="preserve">                 2) งบอุดหนุน</t>
  </si>
  <si>
    <t xml:space="preserve">                 2) งบเงินอุดหนุน</t>
  </si>
  <si>
    <t xml:space="preserve"> - ค่าเครื่องแบบชุดปฎิบัติงาน</t>
  </si>
  <si>
    <t>งาน/โครงการตามแผนยุทธศาสตร์/งบรายจ่าย/รายการ</t>
  </si>
  <si>
    <t>- เงินตอบแทนพิเศษของลูกจ้างประจำ</t>
  </si>
  <si>
    <t xml:space="preserve"> งบประมาณภารกิจประจำพื้นฐาน</t>
  </si>
  <si>
    <t xml:space="preserve"> งบบุคลากร ค่าตอบแทนใช้สอยและวัสดุ</t>
  </si>
  <si>
    <t>1) งบดำเนินงาน</t>
  </si>
  <si>
    <t>2) งบเงินอุดหนุน</t>
  </si>
  <si>
    <r>
      <rPr>
        <b/>
        <sz val="16"/>
        <rFont val="TH SarabunPSK"/>
        <family val="2"/>
      </rPr>
      <t xml:space="preserve"> </t>
    </r>
    <r>
      <rPr>
        <b/>
        <u/>
        <sz val="16"/>
        <rFont val="TH SarabunPSK"/>
        <family val="2"/>
      </rPr>
      <t>งบประมาณตามโครงสร้างงาน</t>
    </r>
  </si>
  <si>
    <t>งานที่ 1 : งานรายจ่ายบุคลากร</t>
  </si>
  <si>
    <t>งานที่ 2 : อำนวยการและบริหารสำนักงานเขต</t>
  </si>
  <si>
    <t>งานที่ 3 : ปกครอง</t>
  </si>
  <si>
    <t>งบประมาณภารกิจตามแผนยุทธศาสตร์</t>
  </si>
  <si>
    <t>งานที่ 4 : บริหารทั่วไปและบริการทะเบียน</t>
  </si>
  <si>
    <t>งานที่ 5 : บริหารงานทั่วไปและบริหารการคลัง</t>
  </si>
  <si>
    <t>งานที่ 6 : บริหารงานทั่วไปและจัดเก็บรายได้</t>
  </si>
  <si>
    <t>งานที่ 7 : บริหารงานทั่วไปฝ่ายรักษาความสะอาด</t>
  </si>
  <si>
    <t>งานที่ 9 : เก็บขยะมูลฝอยและขนถ่ายสิ่งปฏิกูล</t>
  </si>
  <si>
    <t>งานที่ 10 : ดูแลสวนและพื้นที่สีเขียว</t>
  </si>
  <si>
    <t>งานที่ 11 : บริหารทั่วไปและสอบสวนดำเนินคดี</t>
  </si>
  <si>
    <t>งานที่ 13 : บริหารทั่วไปฝ่ายโยธา</t>
  </si>
  <si>
    <t>งานที่ 14 : อนุญาตก่อสร้าง ควบคุมอาคารและผังเมือง</t>
  </si>
  <si>
    <t>งานที่ 15 : บำรุงรักษาซ่อมแซม</t>
  </si>
  <si>
    <t>งานที่ 16 : ระบายน้ำและแก้ไขปัญหาน้ำท่วม</t>
  </si>
  <si>
    <t>งานที่ 17 : บริหารทั่วไปฝ่ายพัฒนาชุมชน</t>
  </si>
  <si>
    <t>งานที่ 18 : พัฒนาชุมชนและบริการสังคม</t>
  </si>
  <si>
    <t>งานที่ 19 : บริหารทั่วไปฝ่ายสิ่งแวดล้อมและสุขาภิบาล</t>
  </si>
  <si>
    <t>งานที่ 20 : สุขาภิบาลอาหารและอนามัยสิ่งแวดล้อม</t>
  </si>
  <si>
    <t>งานที่ 21 : ป้องกันและควบคุมโรค</t>
  </si>
  <si>
    <t>งานที่ 22 : บริหารทั่วไปฝ่ายการศึกษา</t>
  </si>
  <si>
    <t>งานที่ 23 : งบประมาณโรงเรียน</t>
  </si>
  <si>
    <t xml:space="preserve">           รวมงบประมาณตามโครงสร้างงานทั้งสิ้น</t>
  </si>
  <si>
    <t xml:space="preserve">           รวมงบประมาณภารกิจประจำพื้นฐาน</t>
  </si>
  <si>
    <t xml:space="preserve">     รวมงบประมาณภารกิจประจำพื้นฐาน</t>
  </si>
  <si>
    <t xml:space="preserve">     รวมงบประมาณภารกิจตามแผนยุทธศาสตร์</t>
  </si>
  <si>
    <t xml:space="preserve"> งานที่ 1 : งบรายจ่ายบุคลากร</t>
  </si>
  <si>
    <t>งานที่ 2 : งานอำนวยการและบริหารสำนักงานเขต</t>
  </si>
  <si>
    <t>งานที่ 3 : งานปกครอง</t>
  </si>
  <si>
    <t>งานที่ 4 : บริหารงานทั่วไปและบริการทะเบียน</t>
  </si>
  <si>
    <t>งานที่ 5 : บริหารทั่วไปและบริหารการคลัง</t>
  </si>
  <si>
    <t xml:space="preserve"> - ค่าใช้จ่ายในการจัดสวัสดิการ การสงเคราะห์ช่วยเหลือเด็ก สตรี ครอบครัว ผู้ด้อยโอกาส</t>
  </si>
  <si>
    <t>ง.1</t>
  </si>
  <si>
    <t>ง.2</t>
  </si>
  <si>
    <t>ง.3</t>
  </si>
  <si>
    <t>งานที่ 17 : งานบริหารทั่วไปฝ่ายพัฒนาชุมชน</t>
  </si>
  <si>
    <t>งานที่ 18 : งานพัฒนาชุมชนและบริการสังคม</t>
  </si>
  <si>
    <t>ผู้รายงาน นางสาวอาจรีย์  พูลสมบัติ</t>
  </si>
  <si>
    <t>- เงินตอบแทนบุคลากรทางการแพทย์และสาธารณสุข</t>
  </si>
  <si>
    <t>- ค่าตอบแทนอาสาสมัครป้องกันภัยฝ่ายพลเรือน</t>
  </si>
  <si>
    <t>Diff.</t>
  </si>
  <si>
    <t>งานที่ 8 : กวาดทำความสะอาดที่และทางสาธารณะ</t>
  </si>
  <si>
    <t xml:space="preserve"> - ค่าใช้จ่ายโครงการส่งเสริมการคัดแยกและจัดการมูลฝอยจากต้นทาง</t>
  </si>
  <si>
    <t>งานที่ 12 : ตรวจและบังคับใช้กฎหมาย</t>
  </si>
  <si>
    <t xml:space="preserve"> - ค่าตอบแทนอาสาสมัครปฏิบัติงานด้านพัฒนาสังคม</t>
  </si>
  <si>
    <t xml:space="preserve"> - ค่าใช้จ่ายในการส่งเสริมกิจการสภาเด็กและเยาวชนเขต</t>
  </si>
  <si>
    <t xml:space="preserve"> - ค่าใช้จ่ายโครงการบูรณาการความร่วมมือในการพัฒนาประสิทธิภาพการแก้ไขปัญหา</t>
  </si>
  <si>
    <t xml:space="preserve">          - ค่าจ้างทำความสะอาดในโรงเรียนสังกัดกรุงเทพมหานคร</t>
  </si>
  <si>
    <t xml:space="preserve">          - ค่าจ้างเหมาบริการเป็นรายบุคคล</t>
  </si>
  <si>
    <t xml:space="preserve">          - ค่าเครื่องหมายสัญลักษณ์ของสถานศึกษาสังกัดกรุงเทพมหานคร</t>
  </si>
  <si>
    <t xml:space="preserve">           - ค่าตอบแทนบุคคลภายนอกช่วยปฏิบัติราชการด้านการสอน</t>
  </si>
  <si>
    <t xml:space="preserve"> - ค่าวัสดุสำหรับหน่วยบริการเร่งด่วนกรุงเทพมหานคร BEST</t>
  </si>
  <si>
    <t xml:space="preserve"> - ค่าอาหารกลางวันและค่าอาหารเสริม (นม)</t>
  </si>
  <si>
    <t xml:space="preserve">   ผู้สูงอายุและคนพิการ</t>
  </si>
  <si>
    <t>วัน/เดือน/ปี   :                           โทร : 02-548-0304 หรือ 5130</t>
  </si>
  <si>
    <t xml:space="preserve"> - </t>
  </si>
  <si>
    <t xml:space="preserve">   </t>
  </si>
  <si>
    <t>เกิน</t>
  </si>
  <si>
    <t>1) งบรายจ่ายอื่น</t>
  </si>
  <si>
    <t xml:space="preserve">   1) โครงการครอบครัวรักการอ่าน</t>
  </si>
  <si>
    <t xml:space="preserve">   2) โครงการจ้างงานคนพิการเพื่อปฏิบัติงาน</t>
  </si>
  <si>
    <t xml:space="preserve">   4) โครงการบูรณาการความร่วมมือในการพัฒนาประสิทธิภาพการแก้ไขปัญหา</t>
  </si>
  <si>
    <t xml:space="preserve">       โรคไข้เลือดออกในพื้นที่กรุงเทพมหานคร</t>
  </si>
  <si>
    <t xml:space="preserve">   3) โครงการการจัดสวัสดิการ การสงเคราะห์ช่วยเหลือเด็ก สตรี ครอบครัว ผู้ด้อยโอกาส </t>
  </si>
  <si>
    <t xml:space="preserve">       ผู้สูงอายุและคนพิการ</t>
  </si>
  <si>
    <t>Link.</t>
  </si>
  <si>
    <t>งบดำเนินงาน</t>
  </si>
  <si>
    <t xml:space="preserve"> งบเงินอุดหนุน</t>
  </si>
  <si>
    <t>งบรายจ่ายอื่น</t>
  </si>
  <si>
    <t>งวด 2</t>
  </si>
  <si>
    <t>แผน/ผลการปฏิบัติงานและการใช้จ่ายงบประมาณรายจ่ายประจำปีงบประมาณ พ.ศ. 2568</t>
  </si>
  <si>
    <t>แผนการปฏิบัติงานและการใช้จ่ายงบประมาณประจำปีงบประมาณ พ.ศ. 2568</t>
  </si>
  <si>
    <t>แผนการปฏิบัติงานและการใช้จ่ายงบประมาณรายจ่ายประจำปีงบประมาณ พ.ศ. 2568</t>
  </si>
  <si>
    <t>งวดที่ 1
 (ต.ค. 2567 - ม.ค. 2568)</t>
  </si>
  <si>
    <t>งวดที่ 2 
(ก.พ. - พ.ค. 2568)</t>
  </si>
  <si>
    <t>งวดที่ 3 
(มิ.ย. - ก.ย. 2568)</t>
  </si>
  <si>
    <t xml:space="preserve"> - ค่าตอบแทนอาสาสมัครชักลากมูลฝอย</t>
  </si>
  <si>
    <t xml:space="preserve"> - ค่าวัสดุในการรักษาความสะอาด</t>
  </si>
  <si>
    <t xml:space="preserve"> - ค่าตอบแทนกรรมการชุมชน</t>
  </si>
  <si>
    <t xml:space="preserve"> - ค่าวัสดุอุปกรณ์การเรียนการสอน อุปกรณ์เสริมทักษะ</t>
  </si>
  <si>
    <t xml:space="preserve"> - ค่าตอบแทนอาสาสมัครปฏิบัติงานด้านเด็ก สตรี ผู้สูงอายุ คนพิการ และผู้ด้อยโอกาส</t>
  </si>
  <si>
    <t xml:space="preserve">          - ค่าซ่อมคอมพิวเตอร์ตามโครงการพัฒนาห้องคอมพิวเตอร์</t>
  </si>
  <si>
    <t xml:space="preserve">         - ค่าใช้จ่ายโครงการเปิดโลกกว้างสร้างเส้นทางสู่อาชีพ</t>
  </si>
  <si>
    <t xml:space="preserve">         - ค่าใช้จ่ายโครงการเล่นน้ำได้ ว่ายน้ำเป็น</t>
  </si>
  <si>
    <t>งบบุคลากร</t>
  </si>
  <si>
    <t>งวด 1</t>
  </si>
  <si>
    <t>งวด 3</t>
  </si>
  <si>
    <t xml:space="preserve">- ค่าใช้จ่ายในการเตรียมงานรับเสด็จพระบาทสมเด็จพระปรเมนทรรามาธิบดีศรีสินทร  </t>
  </si>
  <si>
    <t>- ค่าใช้จ่ายโครงการอาสาสมัครกรุงเทพมหานครเฝ้าระวังภัยและยาเสพติด</t>
  </si>
  <si>
    <t xml:space="preserve">          - ค่าวัสดุการสอนวิทยาศาสตร์ ชั้นประถมศึกษา</t>
  </si>
  <si>
    <t xml:space="preserve">          - ค่าชุดลูกเสือ-เนตรนารี-ยุวกาชาด-ชุดนอนอนุบาล-ชุดพละ</t>
  </si>
  <si>
    <t>ผู้รายงาน นายเจนวิทย์ ศิริไสย์</t>
  </si>
  <si>
    <t>ผู้รายงาน นางสาวฐิติรัตน์ โยธะกรกานต์</t>
  </si>
  <si>
    <t>- ค่าทำความสะอาดเครื่องนอนเวรฯ</t>
  </si>
  <si>
    <t>- ค่าวัสดุสำนักงาน</t>
  </si>
  <si>
    <t xml:space="preserve"> - ค่าวัสดุสำนักงาน</t>
  </si>
  <si>
    <t xml:space="preserve">   - ค่าวัสดุสำนักงาน</t>
  </si>
  <si>
    <t>- ค่าใช้จ่ายในการฝึกอบรมอาสาสมัครป้องกันภัยฝ่ายพลเรือน (หลักสูตรหลัก)</t>
  </si>
  <si>
    <t>- ค่าวัสดุอุปกรณ์ สำหรับใช้ในศูนย์ อปพร.</t>
  </si>
  <si>
    <t xml:space="preserve">  มหาวชิราลงกรณพระวชิรเกล้าเจ้าอยู่หัว เสด็จพระราชดำเนินทรงเปิดงานเมาลิดกลาง</t>
  </si>
  <si>
    <t xml:space="preserve">  แห่งประเทศไทย</t>
  </si>
  <si>
    <t xml:space="preserve"> - ค่าหนังสือ วารสารฯ</t>
  </si>
  <si>
    <t xml:space="preserve"> - ค่าตอบแทนการประชุมของคณะกรรมการชุมชน</t>
  </si>
  <si>
    <t xml:space="preserve"> - ค่าใช้จ่ายในการจัดงานวันสำคัญ อนุรักษ์สืบสานวัฒนธรรมประเพณี</t>
  </si>
  <si>
    <t xml:space="preserve">          - ค่าวัสดุอุปกรณ์การสอน (โรงเรียนขยายโอกาสฯ)</t>
  </si>
  <si>
    <t xml:space="preserve">          - ค่าสารกรองเครื่องกรองน้ำ</t>
  </si>
  <si>
    <t xml:space="preserve">         - ค่าอาหารเช้าของนักเรียนในโรงเรียนสังกัดกรุงเทพมหานคร</t>
  </si>
  <si>
    <t xml:space="preserve">         - ค่าใช้จ่ายโครงการฝึกอบรมนายหมู่ลูกเสือสามัญ สามัญรุ่นใหญ่ และหัวหน้าหน่วยยุวกาชาด</t>
  </si>
  <si>
    <t xml:space="preserve">         - ค่าใช้จ่ายในการจัดประชุมสัมนาคณะกรรมการสถานศึกษาขั้นพื้นฐานโรงเรียน</t>
  </si>
  <si>
    <t xml:space="preserve">          - ค่าจ้างเหมายามรักษาความปลอดภัยในโรงเรียนสังกัดกรุงเทพมหานคร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</si>
</sst>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67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u/>
      <sz val="16"/>
      <color theme="1"/>
      <name val="TH SarabunPSK"/>
      <family val="2"/>
    </font>
    <font>
      <sz val="11"/>
      <color theme="1"/>
      <name val="Tahoma"/>
      <family val="2"/>
      <charset val="222"/>
      <scheme val="minor"/>
    </font>
    <font>
      <b/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  <charset val="222"/>
    </font>
    <font>
      <sz val="11"/>
      <color rgb="FF7030A0"/>
      <name val="Tahoma"/>
      <family val="2"/>
      <charset val="222"/>
      <scheme val="minor"/>
    </font>
    <font>
      <sz val="16"/>
      <color rgb="FF7030A0"/>
      <name val="TH SarabunPSK"/>
      <family val="2"/>
    </font>
    <font>
      <b/>
      <sz val="16"/>
      <color rgb="FF7030A0"/>
      <name val="TH SarabunPSK"/>
      <family val="2"/>
    </font>
    <font>
      <b/>
      <sz val="16"/>
      <color rgb="FF7030A0"/>
      <name val="TH SarabunPSK"/>
      <family val="2"/>
      <charset val="222"/>
    </font>
    <font>
      <sz val="11"/>
      <color rgb="FFFF0000"/>
      <name val="Tahoma"/>
      <family val="2"/>
      <charset val="222"/>
      <scheme val="minor"/>
    </font>
    <font>
      <sz val="16"/>
      <color rgb="FFFF0000"/>
      <name val="TH SarabunPSK"/>
      <family val="2"/>
    </font>
    <font>
      <b/>
      <sz val="16"/>
      <color rgb="FFFF0000"/>
      <name val="TH SarabunPSK"/>
      <family val="2"/>
      <charset val="222"/>
    </font>
    <font>
      <b/>
      <sz val="16"/>
      <color rgb="FF00B050"/>
      <name val="TH SarabunPSK"/>
      <family val="2"/>
    </font>
    <font>
      <sz val="16"/>
      <color rgb="FF00B050"/>
      <name val="TH SarabunPSK"/>
      <family val="2"/>
    </font>
    <font>
      <b/>
      <sz val="16"/>
      <color rgb="FF00B050"/>
      <name val="TH SarabunPSK"/>
      <family val="2"/>
      <charset val="222"/>
    </font>
    <font>
      <sz val="11"/>
      <color rgb="FF00B050"/>
      <name val="Tahoma"/>
      <family val="2"/>
      <charset val="222"/>
      <scheme val="minor"/>
    </font>
    <font>
      <b/>
      <sz val="16"/>
      <color rgb="FFFF0000"/>
      <name val="TH SarabunPSK"/>
      <family val="2"/>
    </font>
    <font>
      <b/>
      <sz val="16"/>
      <name val="TH SarabunPSK"/>
      <family val="2"/>
      <charset val="222"/>
    </font>
    <font>
      <sz val="11"/>
      <name val="Tahoma"/>
      <family val="2"/>
      <charset val="222"/>
      <scheme val="minor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  <font>
      <b/>
      <sz val="16"/>
      <name val="TH Sarabun New"/>
      <family val="2"/>
    </font>
    <font>
      <b/>
      <u/>
      <sz val="16"/>
      <color theme="1"/>
      <name val="TH Sarabun New"/>
      <family val="2"/>
    </font>
    <font>
      <sz val="11"/>
      <color theme="1"/>
      <name val="TH Sarabun New"/>
      <family val="2"/>
    </font>
    <font>
      <b/>
      <u/>
      <sz val="16"/>
      <name val="TH SarabunPSK"/>
      <family val="2"/>
    </font>
    <font>
      <b/>
      <sz val="11"/>
      <name val="Tahoma"/>
      <family val="2"/>
      <charset val="222"/>
      <scheme val="minor"/>
    </font>
    <font>
      <b/>
      <u/>
      <sz val="18"/>
      <name val="TH SarabunPSK"/>
      <family val="2"/>
    </font>
    <font>
      <sz val="16"/>
      <name val="Tahoma"/>
      <family val="2"/>
      <charset val="222"/>
      <scheme val="minor"/>
    </font>
    <font>
      <b/>
      <sz val="16"/>
      <name val="TH Sarabun New"/>
      <family val="2"/>
      <charset val="222"/>
    </font>
    <font>
      <sz val="16"/>
      <name val="TH Sarabun New"/>
      <family val="2"/>
    </font>
    <font>
      <b/>
      <sz val="18"/>
      <name val="TH SarabunPSK"/>
      <family val="2"/>
    </font>
    <font>
      <b/>
      <u/>
      <sz val="16"/>
      <name val="TH Sarabun New"/>
      <family val="2"/>
    </font>
    <font>
      <sz val="16"/>
      <color rgb="FFC00000"/>
      <name val="TH SarabunPSK"/>
      <family val="2"/>
    </font>
    <font>
      <sz val="10"/>
      <name val="Tahoma"/>
      <family val="2"/>
      <charset val="222"/>
      <scheme val="minor"/>
    </font>
    <font>
      <sz val="16"/>
      <color rgb="FF0070C0"/>
      <name val="TH SarabunPSK"/>
      <family val="2"/>
    </font>
    <font>
      <sz val="14"/>
      <name val="TH SarabunPSK"/>
      <family val="2"/>
    </font>
    <font>
      <b/>
      <sz val="14"/>
      <color rgb="FF00B050"/>
      <name val="TH SarabunPSK"/>
      <family val="2"/>
    </font>
    <font>
      <b/>
      <sz val="14"/>
      <color rgb="FF7030A0"/>
      <name val="TH SarabunPSK"/>
      <family val="2"/>
    </font>
    <font>
      <sz val="14"/>
      <color rgb="FF00B050"/>
      <name val="TH SarabunPSK"/>
      <family val="2"/>
    </font>
    <font>
      <b/>
      <sz val="14"/>
      <color rgb="FFFF0000"/>
      <name val="TH SarabunPSK"/>
      <family val="2"/>
    </font>
    <font>
      <sz val="14"/>
      <name val="Tahoma"/>
      <family val="2"/>
      <charset val="222"/>
      <scheme val="minor"/>
    </font>
    <font>
      <b/>
      <sz val="14"/>
      <name val="TH SarabunPSK"/>
      <family val="2"/>
    </font>
    <font>
      <sz val="13"/>
      <color rgb="FF00B050"/>
      <name val="TH SarabunPSK"/>
      <family val="2"/>
    </font>
    <font>
      <b/>
      <sz val="13"/>
      <color rgb="FF00B050"/>
      <name val="TH SarabunPSK"/>
      <family val="2"/>
    </font>
    <font>
      <sz val="13"/>
      <color rgb="FF7030A0"/>
      <name val="TH SarabunPSK"/>
      <family val="2"/>
    </font>
    <font>
      <b/>
      <sz val="13"/>
      <color rgb="FF7030A0"/>
      <name val="TH SarabunPSK"/>
      <family val="2"/>
    </font>
    <font>
      <sz val="13"/>
      <color rgb="FFFF0000"/>
      <name val="TH SarabunPSK"/>
      <family val="2"/>
    </font>
    <font>
      <b/>
      <sz val="13"/>
      <color rgb="FFFF0000"/>
      <name val="TH SarabunPSK"/>
      <family val="2"/>
    </font>
    <font>
      <sz val="15"/>
      <color rgb="FFFF0000"/>
      <name val="TH SarabunPSK"/>
      <family val="2"/>
    </font>
    <font>
      <sz val="14"/>
      <color rgb="FFFF0000"/>
      <name val="Tahoma"/>
      <family val="2"/>
      <charset val="222"/>
      <scheme val="minor"/>
    </font>
    <font>
      <sz val="14"/>
      <color rgb="FFFF0000"/>
      <name val="TH SarabunPSK"/>
      <family val="2"/>
    </font>
    <font>
      <sz val="14"/>
      <color rgb="FF7030A0"/>
      <name val="Tahoma"/>
      <family val="2"/>
      <charset val="222"/>
      <scheme val="minor"/>
    </font>
    <font>
      <sz val="14"/>
      <color rgb="FF7030A0"/>
      <name val="TH SarabunPSK"/>
      <family val="2"/>
    </font>
    <font>
      <sz val="15"/>
      <color rgb="FF7030A0"/>
      <name val="TH SarabunPSK"/>
      <family val="2"/>
    </font>
    <font>
      <sz val="14"/>
      <color rgb="FF00B050"/>
      <name val="Tahoma"/>
      <family val="2"/>
      <charset val="222"/>
      <scheme val="minor"/>
    </font>
    <font>
      <sz val="15"/>
      <color rgb="FF00B050"/>
      <name val="TH SarabunPSK"/>
      <family val="2"/>
    </font>
    <font>
      <sz val="16"/>
      <name val="TH SarabunPSK"/>
      <family val="2"/>
      <charset val="222"/>
    </font>
    <font>
      <b/>
      <sz val="16"/>
      <name val="Tahoma"/>
      <family val="2"/>
      <charset val="222"/>
      <scheme val="minor"/>
    </font>
    <font>
      <b/>
      <sz val="15"/>
      <name val="TH SarabunPSK"/>
      <family val="2"/>
    </font>
    <font>
      <sz val="16"/>
      <name val="Tahoma"/>
      <family val="2"/>
      <scheme val="minor"/>
    </font>
    <font>
      <sz val="11"/>
      <name val="Tahoma"/>
      <family val="2"/>
      <scheme val="minor"/>
    </font>
    <font>
      <u val="singleAccounting"/>
      <sz val="16"/>
      <name val="TH SarabunPSK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000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</borders>
  <cellStyleXfs count="4">
    <xf numFmtId="0" fontId="0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723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2" fillId="3" borderId="1" xfId="0" applyFont="1" applyFill="1" applyBorder="1" applyAlignment="1">
      <alignment horizontal="left" vertical="center"/>
    </xf>
    <xf numFmtId="0" fontId="2" fillId="0" borderId="0" xfId="0" applyFont="1" applyAlignment="1">
      <alignment vertical="center"/>
    </xf>
    <xf numFmtId="0" fontId="2" fillId="2" borderId="1" xfId="0" applyFont="1" applyFill="1" applyBorder="1" applyAlignment="1">
      <alignment horizontal="left" vertical="center" indent="2"/>
    </xf>
    <xf numFmtId="0" fontId="2" fillId="3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left" vertical="center" indent="5"/>
    </xf>
    <xf numFmtId="0" fontId="1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indent="4"/>
    </xf>
    <xf numFmtId="0" fontId="5" fillId="0" borderId="0" xfId="0" applyFont="1"/>
    <xf numFmtId="0" fontId="5" fillId="0" borderId="0" xfId="0" applyFont="1" applyAlignment="1">
      <alignment vertical="top" wrapText="1"/>
    </xf>
    <xf numFmtId="49" fontId="5" fillId="0" borderId="9" xfId="0" applyNumberFormat="1" applyFont="1" applyBorder="1" applyAlignment="1">
      <alignment vertical="top"/>
    </xf>
    <xf numFmtId="0" fontId="5" fillId="0" borderId="9" xfId="0" applyFont="1" applyBorder="1"/>
    <xf numFmtId="0" fontId="5" fillId="0" borderId="5" xfId="0" applyFont="1" applyBorder="1"/>
    <xf numFmtId="0" fontId="5" fillId="0" borderId="11" xfId="0" applyFont="1" applyBorder="1"/>
    <xf numFmtId="0" fontId="5" fillId="0" borderId="12" xfId="0" applyFont="1" applyBorder="1"/>
    <xf numFmtId="49" fontId="5" fillId="0" borderId="0" xfId="0" applyNumberFormat="1" applyFont="1" applyAlignment="1">
      <alignment vertical="top"/>
    </xf>
    <xf numFmtId="0" fontId="4" fillId="0" borderId="10" xfId="0" applyFont="1" applyBorder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/>
    </xf>
    <xf numFmtId="0" fontId="1" fillId="0" borderId="8" xfId="0" applyFont="1" applyBorder="1" applyAlignment="1">
      <alignment horizontal="left" vertical="center" indent="3"/>
    </xf>
    <xf numFmtId="0" fontId="2" fillId="0" borderId="8" xfId="0" applyFont="1" applyBorder="1" applyAlignment="1">
      <alignment horizontal="left" vertical="center" indent="3"/>
    </xf>
    <xf numFmtId="0" fontId="1" fillId="0" borderId="8" xfId="0" applyFont="1" applyBorder="1" applyAlignment="1">
      <alignment horizontal="left" vertical="center" wrapText="1" indent="3"/>
    </xf>
    <xf numFmtId="0" fontId="1" fillId="0" borderId="8" xfId="0" applyFont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8" fillId="0" borderId="0" xfId="0" applyFont="1"/>
    <xf numFmtId="0" fontId="6" fillId="0" borderId="8" xfId="0" applyFont="1" applyBorder="1" applyAlignment="1">
      <alignment horizontal="left" vertical="center" indent="2"/>
    </xf>
    <xf numFmtId="0" fontId="2" fillId="2" borderId="8" xfId="0" applyFont="1" applyFill="1" applyBorder="1" applyAlignment="1">
      <alignment horizontal="left" vertical="center"/>
    </xf>
    <xf numFmtId="0" fontId="1" fillId="0" borderId="7" xfId="0" applyFont="1" applyBorder="1" applyAlignment="1">
      <alignment horizontal="left" vertical="center" indent="3"/>
    </xf>
    <xf numFmtId="0" fontId="2" fillId="2" borderId="7" xfId="0" applyFont="1" applyFill="1" applyBorder="1" applyAlignment="1">
      <alignment horizontal="left" vertical="center"/>
    </xf>
    <xf numFmtId="0" fontId="2" fillId="3" borderId="8" xfId="0" applyFont="1" applyFill="1" applyBorder="1" applyAlignment="1">
      <alignment horizontal="center" vertical="center"/>
    </xf>
    <xf numFmtId="187" fontId="2" fillId="0" borderId="0" xfId="1" applyNumberFormat="1" applyFont="1" applyAlignment="1">
      <alignment vertical="center"/>
    </xf>
    <xf numFmtId="187" fontId="0" fillId="0" borderId="0" xfId="1" applyNumberFormat="1" applyFont="1"/>
    <xf numFmtId="187" fontId="1" fillId="0" borderId="0" xfId="1" applyNumberFormat="1" applyFont="1" applyAlignment="1">
      <alignment horizontal="right" vertical="center"/>
    </xf>
    <xf numFmtId="187" fontId="9" fillId="3" borderId="3" xfId="1" applyNumberFormat="1" applyFont="1" applyFill="1" applyBorder="1" applyAlignment="1">
      <alignment horizontal="center" vertical="center"/>
    </xf>
    <xf numFmtId="187" fontId="2" fillId="3" borderId="1" xfId="1" applyNumberFormat="1" applyFont="1" applyFill="1" applyBorder="1" applyAlignment="1">
      <alignment horizontal="right" vertical="center"/>
    </xf>
    <xf numFmtId="187" fontId="2" fillId="2" borderId="1" xfId="1" applyNumberFormat="1" applyFont="1" applyFill="1" applyBorder="1" applyAlignment="1">
      <alignment horizontal="center" vertical="center"/>
    </xf>
    <xf numFmtId="187" fontId="1" fillId="2" borderId="1" xfId="1" applyNumberFormat="1" applyFont="1" applyFill="1" applyBorder="1" applyAlignment="1">
      <alignment horizontal="center" vertical="center"/>
    </xf>
    <xf numFmtId="187" fontId="1" fillId="0" borderId="1" xfId="1" applyNumberFormat="1" applyFont="1" applyBorder="1" applyAlignment="1">
      <alignment horizontal="center" vertical="center"/>
    </xf>
    <xf numFmtId="187" fontId="2" fillId="0" borderId="1" xfId="1" applyNumberFormat="1" applyFont="1" applyBorder="1" applyAlignment="1">
      <alignment horizontal="center" vertical="center"/>
    </xf>
    <xf numFmtId="187" fontId="1" fillId="0" borderId="2" xfId="1" applyNumberFormat="1" applyFont="1" applyBorder="1" applyAlignment="1">
      <alignment horizontal="center" vertical="center"/>
    </xf>
    <xf numFmtId="187" fontId="1" fillId="0" borderId="8" xfId="1" applyNumberFormat="1" applyFont="1" applyBorder="1" applyAlignment="1">
      <alignment horizontal="center" vertical="center"/>
    </xf>
    <xf numFmtId="187" fontId="2" fillId="3" borderId="2" xfId="1" applyNumberFormat="1" applyFont="1" applyFill="1" applyBorder="1" applyAlignment="1">
      <alignment vertical="center"/>
    </xf>
    <xf numFmtId="187" fontId="2" fillId="3" borderId="7" xfId="1" applyNumberFormat="1" applyFont="1" applyFill="1" applyBorder="1" applyAlignment="1">
      <alignment vertical="center"/>
    </xf>
    <xf numFmtId="187" fontId="1" fillId="0" borderId="0" xfId="1" applyNumberFormat="1" applyFont="1" applyBorder="1" applyAlignment="1">
      <alignment horizontal="center" vertical="center"/>
    </xf>
    <xf numFmtId="187" fontId="9" fillId="3" borderId="3" xfId="0" applyNumberFormat="1" applyFont="1" applyFill="1" applyBorder="1" applyAlignment="1">
      <alignment horizontal="center" vertical="center"/>
    </xf>
    <xf numFmtId="187" fontId="9" fillId="2" borderId="1" xfId="0" applyNumberFormat="1" applyFont="1" applyFill="1" applyBorder="1" applyAlignment="1">
      <alignment horizontal="center" vertical="center"/>
    </xf>
    <xf numFmtId="187" fontId="9" fillId="0" borderId="1" xfId="0" applyNumberFormat="1" applyFont="1" applyBorder="1" applyAlignment="1">
      <alignment horizontal="center" vertical="center"/>
    </xf>
    <xf numFmtId="187" fontId="9" fillId="3" borderId="2" xfId="0" applyNumberFormat="1" applyFont="1" applyFill="1" applyBorder="1" applyAlignment="1">
      <alignment horizontal="center" vertical="center"/>
    </xf>
    <xf numFmtId="187" fontId="9" fillId="3" borderId="7" xfId="0" applyNumberFormat="1" applyFont="1" applyFill="1" applyBorder="1" applyAlignment="1">
      <alignment horizontal="center" vertical="center"/>
    </xf>
    <xf numFmtId="187" fontId="9" fillId="0" borderId="0" xfId="1" applyNumberFormat="1" applyFont="1" applyAlignment="1">
      <alignment vertical="center"/>
    </xf>
    <xf numFmtId="187" fontId="9" fillId="0" borderId="0" xfId="1" applyNumberFormat="1" applyFont="1" applyAlignment="1">
      <alignment horizontal="left" vertical="center"/>
    </xf>
    <xf numFmtId="187" fontId="9" fillId="2" borderId="1" xfId="1" applyNumberFormat="1" applyFont="1" applyFill="1" applyBorder="1" applyAlignment="1">
      <alignment horizontal="center" vertical="center"/>
    </xf>
    <xf numFmtId="187" fontId="9" fillId="0" borderId="1" xfId="1" applyNumberFormat="1" applyFont="1" applyBorder="1" applyAlignment="1">
      <alignment horizontal="center" vertical="center"/>
    </xf>
    <xf numFmtId="187" fontId="9" fillId="0" borderId="2" xfId="1" applyNumberFormat="1" applyFont="1" applyBorder="1" applyAlignment="1">
      <alignment horizontal="center" vertical="center"/>
    </xf>
    <xf numFmtId="187" fontId="9" fillId="0" borderId="8" xfId="1" applyNumberFormat="1" applyFont="1" applyBorder="1" applyAlignment="1">
      <alignment horizontal="center" vertical="center"/>
    </xf>
    <xf numFmtId="187" fontId="9" fillId="3" borderId="2" xfId="1" applyNumberFormat="1" applyFont="1" applyFill="1" applyBorder="1" applyAlignment="1">
      <alignment horizontal="center" vertical="center"/>
    </xf>
    <xf numFmtId="187" fontId="9" fillId="3" borderId="7" xfId="1" applyNumberFormat="1" applyFont="1" applyFill="1" applyBorder="1" applyAlignment="1">
      <alignment horizontal="center" vertical="center"/>
    </xf>
    <xf numFmtId="187" fontId="9" fillId="0" borderId="0" xfId="1" applyNumberFormat="1" applyFont="1" applyBorder="1" applyAlignment="1">
      <alignment horizontal="left" vertical="center" indent="4"/>
    </xf>
    <xf numFmtId="187" fontId="8" fillId="0" borderId="0" xfId="1" applyNumberFormat="1" applyFont="1"/>
    <xf numFmtId="0" fontId="1" fillId="0" borderId="1" xfId="0" applyFont="1" applyBorder="1" applyAlignment="1">
      <alignment horizontal="left" vertical="center" indent="1"/>
    </xf>
    <xf numFmtId="0" fontId="1" fillId="0" borderId="1" xfId="0" applyFont="1" applyBorder="1" applyAlignment="1">
      <alignment horizontal="left" vertical="center" indent="6"/>
    </xf>
    <xf numFmtId="0" fontId="1" fillId="0" borderId="1" xfId="0" applyFont="1" applyBorder="1" applyAlignment="1">
      <alignment horizontal="center" vertical="center" wrapText="1"/>
    </xf>
    <xf numFmtId="187" fontId="2" fillId="3" borderId="1" xfId="1" applyNumberFormat="1" applyFont="1" applyFill="1" applyBorder="1" applyAlignment="1">
      <alignment horizontal="center" vertical="center"/>
    </xf>
    <xf numFmtId="187" fontId="3" fillId="3" borderId="1" xfId="1" applyNumberFormat="1" applyFont="1" applyFill="1" applyBorder="1" applyAlignment="1">
      <alignment horizontal="center" vertical="center"/>
    </xf>
    <xf numFmtId="187" fontId="2" fillId="2" borderId="1" xfId="0" applyNumberFormat="1" applyFont="1" applyFill="1" applyBorder="1" applyAlignment="1">
      <alignment horizontal="left" vertical="center" indent="2"/>
    </xf>
    <xf numFmtId="187" fontId="2" fillId="3" borderId="1" xfId="0" applyNumberFormat="1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left" vertical="center" indent="1"/>
    </xf>
    <xf numFmtId="187" fontId="2" fillId="4" borderId="1" xfId="1" applyNumberFormat="1" applyFont="1" applyFill="1" applyBorder="1" applyAlignment="1">
      <alignment horizontal="center" vertical="center"/>
    </xf>
    <xf numFmtId="187" fontId="2" fillId="4" borderId="1" xfId="0" applyNumberFormat="1" applyFont="1" applyFill="1" applyBorder="1" applyAlignment="1">
      <alignment horizontal="left" vertical="center"/>
    </xf>
    <xf numFmtId="0" fontId="10" fillId="0" borderId="0" xfId="0" applyFont="1"/>
    <xf numFmtId="0" fontId="11" fillId="0" borderId="0" xfId="0" applyFont="1" applyAlignment="1">
      <alignment horizontal="center" vertical="center"/>
    </xf>
    <xf numFmtId="187" fontId="11" fillId="0" borderId="0" xfId="0" applyNumberFormat="1" applyFont="1" applyAlignment="1">
      <alignment horizontal="center" vertical="center"/>
    </xf>
    <xf numFmtId="187" fontId="9" fillId="0" borderId="0" xfId="0" applyNumberFormat="1" applyFont="1" applyAlignment="1">
      <alignment horizontal="left" vertical="center" indent="4"/>
    </xf>
    <xf numFmtId="187" fontId="12" fillId="3" borderId="7" xfId="0" applyNumberFormat="1" applyFont="1" applyFill="1" applyBorder="1" applyAlignment="1">
      <alignment vertical="center"/>
    </xf>
    <xf numFmtId="187" fontId="13" fillId="3" borderId="2" xfId="0" applyNumberFormat="1" applyFont="1" applyFill="1" applyBorder="1" applyAlignment="1">
      <alignment horizontal="center" vertical="center"/>
    </xf>
    <xf numFmtId="187" fontId="12" fillId="3" borderId="1" xfId="1" applyNumberFormat="1" applyFont="1" applyFill="1" applyBorder="1" applyAlignment="1">
      <alignment horizontal="right" vertical="center"/>
    </xf>
    <xf numFmtId="187" fontId="13" fillId="3" borderId="3" xfId="0" applyNumberFormat="1" applyFont="1" applyFill="1" applyBorder="1" applyAlignment="1">
      <alignment horizontal="center" vertical="center"/>
    </xf>
    <xf numFmtId="187" fontId="0" fillId="0" borderId="0" xfId="0" applyNumberFormat="1"/>
    <xf numFmtId="187" fontId="11" fillId="0" borderId="3" xfId="1" applyNumberFormat="1" applyFont="1" applyBorder="1" applyAlignment="1">
      <alignment horizontal="center" vertical="center"/>
    </xf>
    <xf numFmtId="187" fontId="9" fillId="0" borderId="3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87" fontId="11" fillId="0" borderId="1" xfId="1" applyNumberFormat="1" applyFont="1" applyBorder="1" applyAlignment="1">
      <alignment horizontal="center" vertical="center"/>
    </xf>
    <xf numFmtId="187" fontId="12" fillId="0" borderId="1" xfId="1" applyNumberFormat="1" applyFont="1" applyBorder="1" applyAlignment="1">
      <alignment horizontal="center" vertical="center"/>
    </xf>
    <xf numFmtId="187" fontId="12" fillId="0" borderId="1" xfId="0" applyNumberFormat="1" applyFont="1" applyBorder="1" applyAlignment="1">
      <alignment horizontal="center" vertical="center"/>
    </xf>
    <xf numFmtId="187" fontId="13" fillId="0" borderId="1" xfId="0" applyNumberFormat="1" applyFont="1" applyBorder="1" applyAlignment="1">
      <alignment horizontal="center" vertical="center"/>
    </xf>
    <xf numFmtId="187" fontId="11" fillId="2" borderId="1" xfId="1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right" vertical="center"/>
    </xf>
    <xf numFmtId="0" fontId="12" fillId="0" borderId="0" xfId="0" applyFont="1" applyAlignment="1">
      <alignment vertical="center"/>
    </xf>
    <xf numFmtId="0" fontId="1" fillId="0" borderId="0" xfId="0" applyFont="1" applyAlignment="1">
      <alignment vertical="top" wrapText="1"/>
    </xf>
    <xf numFmtId="0" fontId="14" fillId="0" borderId="0" xfId="0" applyFont="1"/>
    <xf numFmtId="187" fontId="11" fillId="0" borderId="13" xfId="1" applyNumberFormat="1" applyFont="1" applyBorder="1" applyAlignment="1">
      <alignment horizontal="center" vertical="center"/>
    </xf>
    <xf numFmtId="187" fontId="11" fillId="0" borderId="7" xfId="1" applyNumberFormat="1" applyFont="1" applyBorder="1" applyAlignment="1">
      <alignment horizontal="center" vertical="center"/>
    </xf>
    <xf numFmtId="0" fontId="17" fillId="0" borderId="2" xfId="0" applyFont="1" applyBorder="1" applyAlignment="1">
      <alignment horizontal="left" vertical="center"/>
    </xf>
    <xf numFmtId="0" fontId="18" fillId="0" borderId="1" xfId="0" applyFont="1" applyBorder="1" applyAlignment="1">
      <alignment horizontal="center" vertical="center"/>
    </xf>
    <xf numFmtId="187" fontId="19" fillId="0" borderId="1" xfId="0" applyNumberFormat="1" applyFont="1" applyBorder="1" applyAlignment="1">
      <alignment horizontal="center" vertical="center"/>
    </xf>
    <xf numFmtId="0" fontId="20" fillId="0" borderId="0" xfId="0" applyFont="1"/>
    <xf numFmtId="0" fontId="17" fillId="0" borderId="8" xfId="0" applyFont="1" applyBorder="1" applyAlignment="1">
      <alignment horizontal="left" vertical="center"/>
    </xf>
    <xf numFmtId="187" fontId="19" fillId="0" borderId="1" xfId="1" applyNumberFormat="1" applyFont="1" applyBorder="1" applyAlignment="1">
      <alignment horizontal="center" vertical="center"/>
    </xf>
    <xf numFmtId="187" fontId="18" fillId="0" borderId="1" xfId="1" applyNumberFormat="1" applyFont="1" applyBorder="1" applyAlignment="1">
      <alignment horizontal="center" vertical="center"/>
    </xf>
    <xf numFmtId="0" fontId="21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5" fillId="0" borderId="0" xfId="0" applyFont="1" applyAlignment="1">
      <alignment horizontal="right" vertical="center"/>
    </xf>
    <xf numFmtId="0" fontId="5" fillId="0" borderId="8" xfId="0" applyFont="1" applyBorder="1" applyAlignment="1">
      <alignment horizontal="left" vertical="center" indent="3"/>
    </xf>
    <xf numFmtId="0" fontId="5" fillId="0" borderId="1" xfId="0" applyFont="1" applyBorder="1" applyAlignment="1">
      <alignment horizontal="center" vertical="center"/>
    </xf>
    <xf numFmtId="187" fontId="22" fillId="0" borderId="1" xfId="0" applyNumberFormat="1" applyFont="1" applyBorder="1" applyAlignment="1">
      <alignment horizontal="center" vertical="center"/>
    </xf>
    <xf numFmtId="187" fontId="5" fillId="0" borderId="1" xfId="1" applyNumberFormat="1" applyFont="1" applyBorder="1" applyAlignment="1">
      <alignment horizontal="center" vertical="center"/>
    </xf>
    <xf numFmtId="187" fontId="23" fillId="0" borderId="0" xfId="0" applyNumberFormat="1" applyFont="1"/>
    <xf numFmtId="0" fontId="23" fillId="0" borderId="0" xfId="0" applyFont="1"/>
    <xf numFmtId="187" fontId="19" fillId="0" borderId="3" xfId="1" applyNumberFormat="1" applyFont="1" applyBorder="1" applyAlignment="1">
      <alignment horizontal="center" vertical="center"/>
    </xf>
    <xf numFmtId="0" fontId="1" fillId="0" borderId="8" xfId="0" applyFont="1" applyBorder="1" applyAlignment="1">
      <alignment horizontal="left" vertical="center"/>
    </xf>
    <xf numFmtId="0" fontId="25" fillId="0" borderId="0" xfId="0" applyFont="1"/>
    <xf numFmtId="0" fontId="24" fillId="0" borderId="0" xfId="0" applyFont="1" applyAlignment="1">
      <alignment vertical="center"/>
    </xf>
    <xf numFmtId="187" fontId="25" fillId="0" borderId="0" xfId="1" applyNumberFormat="1" applyFont="1" applyAlignment="1">
      <alignment horizontal="right"/>
    </xf>
    <xf numFmtId="0" fontId="24" fillId="0" borderId="0" xfId="0" applyFont="1" applyAlignment="1">
      <alignment horizontal="left" vertical="center"/>
    </xf>
    <xf numFmtId="187" fontId="25" fillId="0" borderId="0" xfId="1" applyNumberFormat="1" applyFont="1" applyAlignment="1">
      <alignment horizontal="right" vertical="center"/>
    </xf>
    <xf numFmtId="0" fontId="24" fillId="0" borderId="4" xfId="0" applyFont="1" applyBorder="1" applyAlignment="1">
      <alignment horizontal="center" vertical="center"/>
    </xf>
    <xf numFmtId="0" fontId="24" fillId="0" borderId="3" xfId="0" applyFont="1" applyBorder="1" applyAlignment="1">
      <alignment horizontal="center" vertical="center"/>
    </xf>
    <xf numFmtId="0" fontId="24" fillId="3" borderId="8" xfId="0" applyFont="1" applyFill="1" applyBorder="1" applyAlignment="1">
      <alignment horizontal="left" vertical="center"/>
    </xf>
    <xf numFmtId="0" fontId="24" fillId="3" borderId="3" xfId="0" applyFont="1" applyFill="1" applyBorder="1" applyAlignment="1">
      <alignment horizontal="center" vertical="center"/>
    </xf>
    <xf numFmtId="187" fontId="24" fillId="3" borderId="3" xfId="0" applyNumberFormat="1" applyFont="1" applyFill="1" applyBorder="1" applyAlignment="1">
      <alignment horizontal="center" vertical="center"/>
    </xf>
    <xf numFmtId="187" fontId="26" fillId="3" borderId="1" xfId="1" applyNumberFormat="1" applyFont="1" applyFill="1" applyBorder="1"/>
    <xf numFmtId="0" fontId="24" fillId="3" borderId="7" xfId="0" applyFont="1" applyFill="1" applyBorder="1" applyAlignment="1">
      <alignment horizontal="left" vertical="center"/>
    </xf>
    <xf numFmtId="187" fontId="24" fillId="3" borderId="7" xfId="1" applyNumberFormat="1" applyFont="1" applyFill="1" applyBorder="1" applyAlignment="1">
      <alignment horizontal="right" vertical="center"/>
    </xf>
    <xf numFmtId="0" fontId="24" fillId="4" borderId="8" xfId="0" applyFont="1" applyFill="1" applyBorder="1" applyAlignment="1">
      <alignment horizontal="left" vertical="center"/>
    </xf>
    <xf numFmtId="0" fontId="25" fillId="4" borderId="3" xfId="0" applyFont="1" applyFill="1" applyBorder="1" applyAlignment="1">
      <alignment horizontal="center" vertical="center"/>
    </xf>
    <xf numFmtId="187" fontId="24" fillId="4" borderId="3" xfId="0" applyNumberFormat="1" applyFont="1" applyFill="1" applyBorder="1" applyAlignment="1">
      <alignment horizontal="center" vertical="center"/>
    </xf>
    <xf numFmtId="187" fontId="24" fillId="4" borderId="7" xfId="1" applyNumberFormat="1" applyFont="1" applyFill="1" applyBorder="1" applyAlignment="1">
      <alignment horizontal="right" vertical="center"/>
    </xf>
    <xf numFmtId="0" fontId="24" fillId="0" borderId="8" xfId="0" applyFont="1" applyBorder="1" applyAlignment="1">
      <alignment horizontal="left" vertical="center"/>
    </xf>
    <xf numFmtId="0" fontId="25" fillId="0" borderId="3" xfId="0" applyFont="1" applyBorder="1" applyAlignment="1">
      <alignment horizontal="center" vertical="center"/>
    </xf>
    <xf numFmtId="187" fontId="24" fillId="0" borderId="3" xfId="0" applyNumberFormat="1" applyFont="1" applyBorder="1" applyAlignment="1">
      <alignment horizontal="center" vertical="center"/>
    </xf>
    <xf numFmtId="187" fontId="24" fillId="0" borderId="1" xfId="0" applyNumberFormat="1" applyFont="1" applyBorder="1" applyAlignment="1">
      <alignment horizontal="center" vertical="center"/>
    </xf>
    <xf numFmtId="187" fontId="24" fillId="0" borderId="7" xfId="1" applyNumberFormat="1" applyFont="1" applyFill="1" applyBorder="1" applyAlignment="1">
      <alignment horizontal="right" vertical="center"/>
    </xf>
    <xf numFmtId="0" fontId="27" fillId="0" borderId="8" xfId="0" applyFont="1" applyBorder="1" applyAlignment="1">
      <alignment horizontal="left" vertical="center"/>
    </xf>
    <xf numFmtId="0" fontId="25" fillId="0" borderId="8" xfId="0" applyFont="1" applyBorder="1"/>
    <xf numFmtId="0" fontId="25" fillId="0" borderId="1" xfId="0" applyFont="1" applyBorder="1" applyAlignment="1">
      <alignment horizontal="center" vertical="center"/>
    </xf>
    <xf numFmtId="187" fontId="25" fillId="0" borderId="1" xfId="1" applyNumberFormat="1" applyFont="1" applyBorder="1" applyAlignment="1">
      <alignment horizontal="center" vertical="center"/>
    </xf>
    <xf numFmtId="0" fontId="25" fillId="0" borderId="14" xfId="0" applyFont="1" applyBorder="1" applyAlignment="1">
      <alignment horizontal="center" vertical="center"/>
    </xf>
    <xf numFmtId="0" fontId="24" fillId="0" borderId="12" xfId="0" applyFont="1" applyBorder="1" applyAlignment="1">
      <alignment horizontal="left" vertical="center"/>
    </xf>
    <xf numFmtId="0" fontId="25" fillId="0" borderId="10" xfId="0" applyFont="1" applyBorder="1" applyAlignment="1">
      <alignment horizontal="center" vertical="center"/>
    </xf>
    <xf numFmtId="187" fontId="26" fillId="0" borderId="7" xfId="1" applyNumberFormat="1" applyFont="1" applyFill="1" applyBorder="1" applyAlignment="1">
      <alignment horizontal="right" vertical="center"/>
    </xf>
    <xf numFmtId="0" fontId="25" fillId="0" borderId="12" xfId="0" applyFont="1" applyBorder="1" applyAlignment="1">
      <alignment wrapText="1"/>
    </xf>
    <xf numFmtId="0" fontId="25" fillId="5" borderId="14" xfId="0" applyFont="1" applyFill="1" applyBorder="1" applyAlignment="1">
      <alignment horizontal="center" vertical="center"/>
    </xf>
    <xf numFmtId="187" fontId="25" fillId="0" borderId="7" xfId="1" applyNumberFormat="1" applyFont="1" applyBorder="1" applyAlignment="1">
      <alignment horizontal="right" vertical="center"/>
    </xf>
    <xf numFmtId="0" fontId="25" fillId="0" borderId="12" xfId="0" applyFont="1" applyBorder="1" applyAlignment="1">
      <alignment vertical="top" wrapText="1"/>
    </xf>
    <xf numFmtId="0" fontId="25" fillId="0" borderId="12" xfId="0" applyFont="1" applyBorder="1"/>
    <xf numFmtId="0" fontId="24" fillId="0" borderId="12" xfId="0" applyFont="1" applyBorder="1"/>
    <xf numFmtId="187" fontId="24" fillId="0" borderId="1" xfId="1" applyNumberFormat="1" applyFont="1" applyFill="1" applyBorder="1" applyAlignment="1">
      <alignment horizontal="right" vertical="center"/>
    </xf>
    <xf numFmtId="187" fontId="25" fillId="0" borderId="1" xfId="1" applyNumberFormat="1" applyFont="1" applyFill="1" applyBorder="1" applyAlignment="1">
      <alignment horizontal="right"/>
    </xf>
    <xf numFmtId="187" fontId="25" fillId="0" borderId="1" xfId="1" applyNumberFormat="1" applyFont="1" applyBorder="1" applyAlignment="1">
      <alignment horizontal="right" vertical="center"/>
    </xf>
    <xf numFmtId="0" fontId="25" fillId="0" borderId="7" xfId="0" applyFont="1" applyBorder="1" applyAlignment="1">
      <alignment wrapText="1"/>
    </xf>
    <xf numFmtId="0" fontId="24" fillId="3" borderId="1" xfId="0" applyFont="1" applyFill="1" applyBorder="1" applyAlignment="1">
      <alignment horizontal="center" vertical="center"/>
    </xf>
    <xf numFmtId="0" fontId="25" fillId="3" borderId="1" xfId="0" applyFont="1" applyFill="1" applyBorder="1" applyAlignment="1">
      <alignment horizontal="center" vertical="center"/>
    </xf>
    <xf numFmtId="187" fontId="24" fillId="3" borderId="1" xfId="0" applyNumberFormat="1" applyFont="1" applyFill="1" applyBorder="1" applyAlignment="1">
      <alignment horizontal="center" vertical="center"/>
    </xf>
    <xf numFmtId="0" fontId="25" fillId="3" borderId="2" xfId="0" applyFont="1" applyFill="1" applyBorder="1" applyAlignment="1">
      <alignment horizontal="left" vertical="center" indent="5"/>
    </xf>
    <xf numFmtId="187" fontId="25" fillId="3" borderId="1" xfId="1" applyNumberFormat="1" applyFont="1" applyFill="1" applyBorder="1" applyAlignment="1">
      <alignment horizontal="right" vertical="center"/>
    </xf>
    <xf numFmtId="0" fontId="25" fillId="3" borderId="1" xfId="0" applyFont="1" applyFill="1" applyBorder="1"/>
    <xf numFmtId="0" fontId="24" fillId="3" borderId="2" xfId="0" applyFont="1" applyFill="1" applyBorder="1" applyAlignment="1">
      <alignment horizontal="center" vertical="center"/>
    </xf>
    <xf numFmtId="187" fontId="24" fillId="3" borderId="2" xfId="0" applyNumberFormat="1" applyFont="1" applyFill="1" applyBorder="1" applyAlignment="1">
      <alignment horizontal="center" vertical="center"/>
    </xf>
    <xf numFmtId="0" fontId="28" fillId="0" borderId="0" xfId="0" applyFont="1"/>
    <xf numFmtId="0" fontId="24" fillId="3" borderId="7" xfId="0" applyFont="1" applyFill="1" applyBorder="1" applyAlignment="1">
      <alignment horizontal="center" vertical="center"/>
    </xf>
    <xf numFmtId="187" fontId="24" fillId="3" borderId="7" xfId="0" applyNumberFormat="1" applyFont="1" applyFill="1" applyBorder="1" applyAlignment="1">
      <alignment horizontal="center" vertical="center"/>
    </xf>
    <xf numFmtId="187" fontId="24" fillId="3" borderId="7" xfId="0" applyNumberFormat="1" applyFont="1" applyFill="1" applyBorder="1" applyAlignment="1">
      <alignment vertical="center"/>
    </xf>
    <xf numFmtId="0" fontId="24" fillId="0" borderId="0" xfId="0" applyFont="1" applyAlignment="1">
      <alignment horizontal="left" vertical="center" indent="4"/>
    </xf>
    <xf numFmtId="187" fontId="24" fillId="0" borderId="0" xfId="0" applyNumberFormat="1" applyFont="1" applyAlignment="1">
      <alignment horizontal="left" vertical="center" indent="4"/>
    </xf>
    <xf numFmtId="187" fontId="25" fillId="0" borderId="0" xfId="0" applyNumberFormat="1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187" fontId="24" fillId="0" borderId="1" xfId="1" applyNumberFormat="1" applyFont="1" applyBorder="1" applyAlignment="1">
      <alignment horizontal="center" vertical="center"/>
    </xf>
    <xf numFmtId="187" fontId="25" fillId="0" borderId="2" xfId="1" applyNumberFormat="1" applyFont="1" applyBorder="1" applyAlignment="1">
      <alignment horizontal="center" vertical="center"/>
    </xf>
    <xf numFmtId="0" fontId="25" fillId="0" borderId="8" xfId="0" applyFont="1" applyBorder="1" applyAlignment="1">
      <alignment vertical="top" wrapText="1"/>
    </xf>
    <xf numFmtId="0" fontId="25" fillId="0" borderId="0" xfId="0" applyFont="1" applyAlignment="1">
      <alignment wrapText="1"/>
    </xf>
    <xf numFmtId="187" fontId="25" fillId="0" borderId="0" xfId="1" applyNumberFormat="1" applyFont="1" applyBorder="1" applyAlignment="1">
      <alignment horizontal="right" vertical="center"/>
    </xf>
    <xf numFmtId="0" fontId="25" fillId="0" borderId="8" xfId="0" applyFont="1" applyBorder="1" applyAlignment="1">
      <alignment horizontal="left" vertical="center"/>
    </xf>
    <xf numFmtId="0" fontId="25" fillId="0" borderId="8" xfId="0" applyFont="1" applyBorder="1" applyAlignment="1">
      <alignment wrapText="1"/>
    </xf>
    <xf numFmtId="0" fontId="4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3" borderId="8" xfId="0" applyFont="1" applyFill="1" applyBorder="1" applyAlignment="1">
      <alignment horizontal="left" vertical="center"/>
    </xf>
    <xf numFmtId="0" fontId="4" fillId="3" borderId="3" xfId="0" applyFont="1" applyFill="1" applyBorder="1" applyAlignment="1">
      <alignment horizontal="center" vertical="center"/>
    </xf>
    <xf numFmtId="187" fontId="22" fillId="3" borderId="3" xfId="0" applyNumberFormat="1" applyFont="1" applyFill="1" applyBorder="1" applyAlignment="1">
      <alignment horizontal="center" vertical="center"/>
    </xf>
    <xf numFmtId="187" fontId="4" fillId="3" borderId="1" xfId="1" applyNumberFormat="1" applyFont="1" applyFill="1" applyBorder="1" applyAlignment="1">
      <alignment horizontal="right" vertical="center"/>
    </xf>
    <xf numFmtId="0" fontId="4" fillId="2" borderId="2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187" fontId="22" fillId="2" borderId="1" xfId="0" applyNumberFormat="1" applyFont="1" applyFill="1" applyBorder="1" applyAlignment="1">
      <alignment horizontal="center" vertical="center"/>
    </xf>
    <xf numFmtId="187" fontId="5" fillId="2" borderId="1" xfId="1" applyNumberFormat="1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29" fillId="0" borderId="8" xfId="0" applyFont="1" applyBorder="1" applyAlignment="1">
      <alignment horizontal="left" vertical="center" indent="2"/>
    </xf>
    <xf numFmtId="0" fontId="4" fillId="0" borderId="8" xfId="0" applyFont="1" applyBorder="1" applyAlignment="1">
      <alignment horizontal="left" vertical="center" indent="3"/>
    </xf>
    <xf numFmtId="0" fontId="5" fillId="0" borderId="8" xfId="0" quotePrefix="1" applyFont="1" applyBorder="1" applyAlignment="1">
      <alignment horizontal="left" vertical="center" indent="3"/>
    </xf>
    <xf numFmtId="187" fontId="5" fillId="0" borderId="3" xfId="1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187" fontId="5" fillId="0" borderId="7" xfId="1" applyNumberFormat="1" applyFont="1" applyBorder="1" applyAlignment="1">
      <alignment horizontal="center" vertical="center"/>
    </xf>
    <xf numFmtId="187" fontId="22" fillId="0" borderId="3" xfId="0" applyNumberFormat="1" applyFont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187" fontId="22" fillId="3" borderId="7" xfId="0" applyNumberFormat="1" applyFont="1" applyFill="1" applyBorder="1" applyAlignment="1">
      <alignment horizontal="center" vertical="center"/>
    </xf>
    <xf numFmtId="187" fontId="4" fillId="3" borderId="7" xfId="0" applyNumberFormat="1" applyFont="1" applyFill="1" applyBorder="1" applyAlignment="1">
      <alignment vertical="center"/>
    </xf>
    <xf numFmtId="0" fontId="4" fillId="0" borderId="0" xfId="0" applyFont="1" applyAlignment="1">
      <alignment horizontal="left" vertical="center" indent="4"/>
    </xf>
    <xf numFmtId="187" fontId="22" fillId="0" borderId="0" xfId="0" applyNumberFormat="1" applyFont="1" applyAlignment="1">
      <alignment horizontal="left" vertical="center" indent="4"/>
    </xf>
    <xf numFmtId="187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0" fillId="0" borderId="0" xfId="0" applyFont="1"/>
    <xf numFmtId="0" fontId="5" fillId="0" borderId="11" xfId="0" applyFont="1" applyBorder="1" applyAlignment="1">
      <alignment vertical="top" wrapText="1"/>
    </xf>
    <xf numFmtId="0" fontId="5" fillId="0" borderId="8" xfId="0" quotePrefix="1" applyFont="1" applyBorder="1" applyAlignment="1">
      <alignment horizontal="left" vertical="center" wrapText="1" indent="3"/>
    </xf>
    <xf numFmtId="0" fontId="5" fillId="0" borderId="7" xfId="0" quotePrefix="1" applyFont="1" applyBorder="1" applyAlignment="1">
      <alignment horizontal="left" vertical="center" indent="3"/>
    </xf>
    <xf numFmtId="187" fontId="5" fillId="2" borderId="1" xfId="2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87" fontId="22" fillId="3" borderId="1" xfId="0" applyNumberFormat="1" applyFont="1" applyFill="1" applyBorder="1" applyAlignment="1">
      <alignment horizontal="center" vertical="center"/>
    </xf>
    <xf numFmtId="187" fontId="4" fillId="3" borderId="1" xfId="0" applyNumberFormat="1" applyFont="1" applyFill="1" applyBorder="1" applyAlignment="1">
      <alignment vertical="center"/>
    </xf>
    <xf numFmtId="187" fontId="22" fillId="3" borderId="3" xfId="2" applyNumberFormat="1" applyFont="1" applyFill="1" applyBorder="1" applyAlignment="1">
      <alignment horizontal="center" vertical="center"/>
    </xf>
    <xf numFmtId="187" fontId="22" fillId="2" borderId="1" xfId="2" applyNumberFormat="1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left" vertical="center"/>
    </xf>
    <xf numFmtId="187" fontId="5" fillId="0" borderId="3" xfId="2" applyNumberFormat="1" applyFont="1" applyBorder="1" applyAlignment="1">
      <alignment horizontal="center" vertical="center"/>
    </xf>
    <xf numFmtId="187" fontId="5" fillId="0" borderId="7" xfId="2" applyNumberFormat="1" applyFont="1" applyBorder="1" applyAlignment="1">
      <alignment horizontal="center" vertical="center"/>
    </xf>
    <xf numFmtId="187" fontId="22" fillId="3" borderId="1" xfId="2" applyNumberFormat="1" applyFont="1" applyFill="1" applyBorder="1" applyAlignment="1">
      <alignment horizontal="center" vertical="center"/>
    </xf>
    <xf numFmtId="187" fontId="4" fillId="3" borderId="1" xfId="2" applyNumberFormat="1" applyFont="1" applyFill="1" applyBorder="1" applyAlignment="1">
      <alignment vertical="center"/>
    </xf>
    <xf numFmtId="187" fontId="5" fillId="0" borderId="0" xfId="2" applyNumberFormat="1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187" fontId="22" fillId="0" borderId="7" xfId="0" applyNumberFormat="1" applyFont="1" applyBorder="1" applyAlignment="1">
      <alignment horizontal="center" vertical="center"/>
    </xf>
    <xf numFmtId="0" fontId="31" fillId="0" borderId="8" xfId="0" applyFont="1" applyBorder="1" applyAlignment="1">
      <alignment horizontal="left" vertical="center" indent="3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187" fontId="4" fillId="0" borderId="16" xfId="2" applyNumberFormat="1" applyFont="1" applyBorder="1" applyAlignment="1">
      <alignment horizontal="center" vertical="center"/>
    </xf>
    <xf numFmtId="187" fontId="22" fillId="0" borderId="16" xfId="0" applyNumberFormat="1" applyFont="1" applyBorder="1" applyAlignment="1">
      <alignment horizontal="center" vertical="center"/>
    </xf>
    <xf numFmtId="187" fontId="5" fillId="0" borderId="16" xfId="2" applyNumberFormat="1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87" fontId="4" fillId="0" borderId="16" xfId="0" applyNumberFormat="1" applyFont="1" applyBorder="1" applyAlignment="1">
      <alignment horizontal="center" vertical="center"/>
    </xf>
    <xf numFmtId="187" fontId="22" fillId="0" borderId="2" xfId="0" applyNumberFormat="1" applyFont="1" applyBorder="1" applyAlignment="1">
      <alignment horizontal="center" vertical="center"/>
    </xf>
    <xf numFmtId="187" fontId="4" fillId="0" borderId="2" xfId="2" applyNumberFormat="1" applyFont="1" applyFill="1" applyBorder="1" applyAlignment="1">
      <alignment horizontal="center" vertical="center"/>
    </xf>
    <xf numFmtId="187" fontId="4" fillId="0" borderId="16" xfId="2" applyNumberFormat="1" applyFont="1" applyFill="1" applyBorder="1" applyAlignment="1">
      <alignment horizontal="center" vertical="center"/>
    </xf>
    <xf numFmtId="187" fontId="22" fillId="0" borderId="19" xfId="0" applyNumberFormat="1" applyFont="1" applyBorder="1" applyAlignment="1">
      <alignment horizontal="center" vertical="center"/>
    </xf>
    <xf numFmtId="187" fontId="5" fillId="0" borderId="19" xfId="2" applyNumberFormat="1" applyFont="1" applyBorder="1" applyAlignment="1">
      <alignment horizontal="center" vertical="center"/>
    </xf>
    <xf numFmtId="187" fontId="4" fillId="0" borderId="0" xfId="0" applyNumberFormat="1" applyFont="1" applyAlignment="1">
      <alignment horizontal="center" vertical="center"/>
    </xf>
    <xf numFmtId="187" fontId="4" fillId="0" borderId="16" xfId="1" applyNumberFormat="1" applyFont="1" applyBorder="1" applyAlignment="1">
      <alignment horizontal="center" vertical="center"/>
    </xf>
    <xf numFmtId="187" fontId="5" fillId="0" borderId="16" xfId="1" applyNumberFormat="1" applyFont="1" applyBorder="1" applyAlignment="1">
      <alignment horizontal="center" vertical="center"/>
    </xf>
    <xf numFmtId="187" fontId="22" fillId="0" borderId="18" xfId="0" applyNumberFormat="1" applyFont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187" fontId="5" fillId="2" borderId="7" xfId="1" applyNumberFormat="1" applyFont="1" applyFill="1" applyBorder="1" applyAlignment="1">
      <alignment horizontal="center" vertical="center"/>
    </xf>
    <xf numFmtId="187" fontId="22" fillId="0" borderId="11" xfId="0" applyNumberFormat="1" applyFont="1" applyBorder="1" applyAlignment="1">
      <alignment horizontal="center" vertical="center"/>
    </xf>
    <xf numFmtId="0" fontId="5" fillId="0" borderId="7" xfId="0" applyFont="1" applyBorder="1" applyAlignment="1">
      <alignment horizontal="left" vertical="center" indent="3"/>
    </xf>
    <xf numFmtId="187" fontId="5" fillId="0" borderId="16" xfId="0" applyNumberFormat="1" applyFont="1" applyBorder="1" applyAlignment="1">
      <alignment horizontal="center" vertical="center"/>
    </xf>
    <xf numFmtId="187" fontId="26" fillId="0" borderId="16" xfId="1" applyNumberFormat="1" applyFont="1" applyFill="1" applyBorder="1" applyAlignment="1">
      <alignment horizontal="right" vertical="center"/>
    </xf>
    <xf numFmtId="187" fontId="4" fillId="0" borderId="2" xfId="0" applyNumberFormat="1" applyFont="1" applyBorder="1" applyAlignment="1">
      <alignment horizontal="center" vertical="center"/>
    </xf>
    <xf numFmtId="187" fontId="4" fillId="0" borderId="2" xfId="1" applyNumberFormat="1" applyFont="1" applyBorder="1" applyAlignment="1">
      <alignment horizontal="center" vertical="center"/>
    </xf>
    <xf numFmtId="0" fontId="32" fillId="0" borderId="0" xfId="0" applyFont="1"/>
    <xf numFmtId="187" fontId="22" fillId="3" borderId="13" xfId="0" applyNumberFormat="1" applyFont="1" applyFill="1" applyBorder="1" applyAlignment="1">
      <alignment horizontal="center" vertical="center"/>
    </xf>
    <xf numFmtId="187" fontId="26" fillId="3" borderId="1" xfId="0" applyNumberFormat="1" applyFont="1" applyFill="1" applyBorder="1" applyAlignment="1">
      <alignment horizontal="center" vertical="center"/>
    </xf>
    <xf numFmtId="0" fontId="26" fillId="0" borderId="8" xfId="0" applyFont="1" applyBorder="1" applyAlignment="1">
      <alignment horizontal="left" vertical="center"/>
    </xf>
    <xf numFmtId="0" fontId="34" fillId="0" borderId="11" xfId="0" applyFont="1" applyBorder="1" applyAlignment="1">
      <alignment horizontal="center" vertical="center"/>
    </xf>
    <xf numFmtId="0" fontId="34" fillId="0" borderId="8" xfId="0" applyFont="1" applyBorder="1"/>
    <xf numFmtId="0" fontId="34" fillId="0" borderId="16" xfId="0" applyFont="1" applyBorder="1" applyAlignment="1">
      <alignment horizontal="center" vertical="center"/>
    </xf>
    <xf numFmtId="187" fontId="34" fillId="0" borderId="16" xfId="1" applyNumberFormat="1" applyFont="1" applyBorder="1" applyAlignment="1">
      <alignment horizontal="center" vertical="center"/>
    </xf>
    <xf numFmtId="0" fontId="34" fillId="0" borderId="8" xfId="0" applyFont="1" applyBorder="1" applyAlignment="1">
      <alignment wrapText="1"/>
    </xf>
    <xf numFmtId="0" fontId="34" fillId="0" borderId="8" xfId="0" applyFont="1" applyBorder="1" applyAlignment="1">
      <alignment vertical="top" wrapText="1"/>
    </xf>
    <xf numFmtId="0" fontId="34" fillId="3" borderId="1" xfId="0" applyFont="1" applyFill="1" applyBorder="1" applyAlignment="1">
      <alignment horizontal="center" vertical="center"/>
    </xf>
    <xf numFmtId="187" fontId="26" fillId="3" borderId="1" xfId="0" applyNumberFormat="1" applyFont="1" applyFill="1" applyBorder="1" applyAlignment="1">
      <alignment vertical="center"/>
    </xf>
    <xf numFmtId="43" fontId="23" fillId="0" borderId="0" xfId="0" applyNumberFormat="1" applyFont="1"/>
    <xf numFmtId="0" fontId="4" fillId="0" borderId="0" xfId="0" applyFont="1" applyAlignment="1">
      <alignment horizontal="right" vertical="center"/>
    </xf>
    <xf numFmtId="0" fontId="29" fillId="3" borderId="1" xfId="0" applyFont="1" applyFill="1" applyBorder="1" applyAlignment="1">
      <alignment horizontal="left" vertical="center"/>
    </xf>
    <xf numFmtId="43" fontId="4" fillId="3" borderId="1" xfId="3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left" vertical="center"/>
    </xf>
    <xf numFmtId="43" fontId="4" fillId="4" borderId="1" xfId="3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2"/>
    </xf>
    <xf numFmtId="43" fontId="4" fillId="2" borderId="1" xfId="3" applyFont="1" applyFill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43" fontId="5" fillId="0" borderId="1" xfId="3" applyFont="1" applyBorder="1" applyAlignment="1">
      <alignment horizontal="center" vertical="center"/>
    </xf>
    <xf numFmtId="43" fontId="5" fillId="0" borderId="0" xfId="0" applyNumberFormat="1" applyFont="1" applyAlignment="1">
      <alignment horizontal="center" vertical="center"/>
    </xf>
    <xf numFmtId="0" fontId="4" fillId="4" borderId="1" xfId="0" applyFont="1" applyFill="1" applyBorder="1" applyAlignment="1">
      <alignment vertical="center"/>
    </xf>
    <xf numFmtId="0" fontId="35" fillId="3" borderId="17" xfId="0" applyFont="1" applyFill="1" applyBorder="1" applyAlignment="1">
      <alignment horizontal="center" vertical="center"/>
    </xf>
    <xf numFmtId="43" fontId="4" fillId="3" borderId="17" xfId="3" applyFont="1" applyFill="1" applyBorder="1" applyAlignment="1">
      <alignment horizontal="center" vertical="center"/>
    </xf>
    <xf numFmtId="0" fontId="4" fillId="4" borderId="2" xfId="0" applyFont="1" applyFill="1" applyBorder="1" applyAlignment="1">
      <alignment vertical="center"/>
    </xf>
    <xf numFmtId="43" fontId="4" fillId="4" borderId="2" xfId="3" applyFont="1" applyFill="1" applyBorder="1" applyAlignment="1">
      <alignment horizontal="center" vertical="center"/>
    </xf>
    <xf numFmtId="0" fontId="29" fillId="3" borderId="7" xfId="0" applyFont="1" applyFill="1" applyBorder="1" applyAlignment="1">
      <alignment horizontal="left" vertical="center"/>
    </xf>
    <xf numFmtId="43" fontId="4" fillId="3" borderId="7" xfId="3" applyFont="1" applyFill="1" applyBorder="1" applyAlignment="1">
      <alignment horizontal="center" vertical="center"/>
    </xf>
    <xf numFmtId="43" fontId="4" fillId="0" borderId="0" xfId="3" applyFont="1" applyFill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43" fontId="5" fillId="0" borderId="2" xfId="3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43" fontId="5" fillId="0" borderId="0" xfId="3" applyFont="1" applyFill="1" applyBorder="1" applyAlignment="1">
      <alignment horizontal="center" vertical="center"/>
    </xf>
    <xf numFmtId="43" fontId="5" fillId="0" borderId="0" xfId="3" applyFont="1" applyBorder="1" applyAlignment="1">
      <alignment horizontal="center" vertical="center"/>
    </xf>
    <xf numFmtId="43" fontId="5" fillId="0" borderId="0" xfId="3" applyFont="1" applyBorder="1" applyAlignment="1">
      <alignment horizontal="right" vertical="center"/>
    </xf>
    <xf numFmtId="0" fontId="34" fillId="0" borderId="19" xfId="0" applyFont="1" applyBorder="1" applyAlignment="1">
      <alignment horizontal="center" vertical="center"/>
    </xf>
    <xf numFmtId="0" fontId="36" fillId="0" borderId="8" xfId="0" applyFont="1" applyBorder="1" applyAlignment="1">
      <alignment horizontal="left" vertical="center"/>
    </xf>
    <xf numFmtId="0" fontId="34" fillId="0" borderId="6" xfId="0" applyFont="1" applyBorder="1" applyAlignment="1">
      <alignment horizontal="center" vertical="center"/>
    </xf>
    <xf numFmtId="187" fontId="26" fillId="0" borderId="11" xfId="0" applyNumberFormat="1" applyFont="1" applyBorder="1" applyAlignment="1">
      <alignment horizontal="center" vertical="center"/>
    </xf>
    <xf numFmtId="187" fontId="26" fillId="0" borderId="8" xfId="1" applyNumberFormat="1" applyFont="1" applyFill="1" applyBorder="1" applyAlignment="1">
      <alignment horizontal="right" vertical="center"/>
    </xf>
    <xf numFmtId="0" fontId="34" fillId="5" borderId="16" xfId="0" applyFont="1" applyFill="1" applyBorder="1" applyAlignment="1">
      <alignment horizontal="center" vertical="center"/>
    </xf>
    <xf numFmtId="187" fontId="34" fillId="0" borderId="16" xfId="1" applyNumberFormat="1" applyFont="1" applyBorder="1" applyAlignment="1">
      <alignment horizontal="right" vertical="center"/>
    </xf>
    <xf numFmtId="0" fontId="26" fillId="0" borderId="8" xfId="0" applyFont="1" applyBorder="1"/>
    <xf numFmtId="0" fontId="34" fillId="0" borderId="7" xfId="0" applyFont="1" applyBorder="1" applyAlignment="1">
      <alignment wrapText="1"/>
    </xf>
    <xf numFmtId="187" fontId="34" fillId="0" borderId="16" xfId="1" applyNumberFormat="1" applyFont="1" applyFill="1" applyBorder="1" applyAlignment="1">
      <alignment horizontal="right"/>
    </xf>
    <xf numFmtId="187" fontId="34" fillId="0" borderId="7" xfId="1" applyNumberFormat="1" applyFont="1" applyBorder="1" applyAlignment="1">
      <alignment horizontal="right" vertical="center"/>
    </xf>
    <xf numFmtId="0" fontId="26" fillId="0" borderId="2" xfId="0" applyFont="1" applyBorder="1" applyAlignment="1">
      <alignment horizontal="left" vertical="center"/>
    </xf>
    <xf numFmtId="187" fontId="26" fillId="0" borderId="2" xfId="1" applyNumberFormat="1" applyFont="1" applyBorder="1" applyAlignment="1">
      <alignment horizontal="right" vertical="center"/>
    </xf>
    <xf numFmtId="187" fontId="30" fillId="0" borderId="0" xfId="0" applyNumberFormat="1" applyFont="1"/>
    <xf numFmtId="43" fontId="38" fillId="0" borderId="0" xfId="0" applyNumberFormat="1" applyFont="1"/>
    <xf numFmtId="43" fontId="15" fillId="0" borderId="0" xfId="0" applyNumberFormat="1" applyFont="1" applyAlignment="1">
      <alignment horizontal="center" vertical="center"/>
    </xf>
    <xf numFmtId="43" fontId="39" fillId="0" borderId="0" xfId="0" applyNumberFormat="1" applyFont="1" applyAlignment="1">
      <alignment horizontal="center" vertical="center"/>
    </xf>
    <xf numFmtId="0" fontId="5" fillId="0" borderId="4" xfId="0" applyFont="1" applyBorder="1" applyAlignment="1">
      <alignment horizontal="left"/>
    </xf>
    <xf numFmtId="0" fontId="5" fillId="0" borderId="9" xfId="0" applyFont="1" applyBorder="1" applyAlignment="1">
      <alignment horizontal="left"/>
    </xf>
    <xf numFmtId="43" fontId="5" fillId="0" borderId="0" xfId="1" applyFont="1" applyAlignment="1">
      <alignment horizontal="center" vertical="center"/>
    </xf>
    <xf numFmtId="43" fontId="37" fillId="0" borderId="0" xfId="0" applyNumberFormat="1" applyFont="1" applyAlignment="1">
      <alignment horizontal="center" vertical="center"/>
    </xf>
    <xf numFmtId="0" fontId="34" fillId="0" borderId="8" xfId="0" applyFont="1" applyBorder="1" applyAlignment="1">
      <alignment horizontal="left" vertical="center"/>
    </xf>
    <xf numFmtId="43" fontId="5" fillId="0" borderId="4" xfId="0" applyNumberFormat="1" applyFont="1" applyBorder="1" applyAlignment="1">
      <alignment horizontal="center" vertical="center"/>
    </xf>
    <xf numFmtId="43" fontId="5" fillId="0" borderId="11" xfId="0" applyNumberFormat="1" applyFont="1" applyBorder="1" applyAlignment="1">
      <alignment horizontal="center" vertical="center"/>
    </xf>
    <xf numFmtId="43" fontId="5" fillId="0" borderId="3" xfId="0" applyNumberFormat="1" applyFont="1" applyBorder="1" applyAlignment="1">
      <alignment horizontal="center" vertical="center"/>
    </xf>
    <xf numFmtId="43" fontId="4" fillId="0" borderId="22" xfId="0" applyNumberFormat="1" applyFont="1" applyBorder="1" applyAlignment="1">
      <alignment horizontal="center" vertical="center"/>
    </xf>
    <xf numFmtId="43" fontId="5" fillId="0" borderId="2" xfId="0" applyNumberFormat="1" applyFont="1" applyBorder="1" applyAlignment="1">
      <alignment horizontal="center" vertical="center"/>
    </xf>
    <xf numFmtId="43" fontId="5" fillId="0" borderId="8" xfId="0" applyNumberFormat="1" applyFont="1" applyBorder="1" applyAlignment="1">
      <alignment horizontal="center" vertical="center"/>
    </xf>
    <xf numFmtId="43" fontId="5" fillId="0" borderId="7" xfId="0" applyNumberFormat="1" applyFont="1" applyBorder="1" applyAlignment="1">
      <alignment horizontal="center" vertical="center"/>
    </xf>
    <xf numFmtId="43" fontId="4" fillId="0" borderId="23" xfId="0" applyNumberFormat="1" applyFont="1" applyBorder="1" applyAlignment="1">
      <alignment horizontal="center" vertical="center"/>
    </xf>
    <xf numFmtId="17" fontId="41" fillId="0" borderId="1" xfId="0" applyNumberFormat="1" applyFont="1" applyBorder="1" applyAlignment="1">
      <alignment horizontal="center" vertical="center"/>
    </xf>
    <xf numFmtId="17" fontId="42" fillId="0" borderId="1" xfId="0" applyNumberFormat="1" applyFont="1" applyBorder="1" applyAlignment="1">
      <alignment horizontal="center" vertical="center"/>
    </xf>
    <xf numFmtId="0" fontId="29" fillId="0" borderId="1" xfId="0" applyFont="1" applyBorder="1" applyAlignment="1">
      <alignment horizontal="left" vertical="center"/>
    </xf>
    <xf numFmtId="43" fontId="4" fillId="0" borderId="1" xfId="3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43" fontId="4" fillId="0" borderId="0" xfId="0" applyNumberFormat="1" applyFont="1" applyAlignment="1">
      <alignment horizontal="center" vertical="center"/>
    </xf>
    <xf numFmtId="0" fontId="4" fillId="0" borderId="1" xfId="0" applyFont="1" applyBorder="1" applyAlignment="1">
      <alignment horizontal="left" vertical="center" indent="2"/>
    </xf>
    <xf numFmtId="43" fontId="5" fillId="0" borderId="1" xfId="3" applyFont="1" applyFill="1" applyBorder="1" applyAlignment="1">
      <alignment horizontal="center" vertical="center"/>
    </xf>
    <xf numFmtId="0" fontId="29" fillId="0" borderId="7" xfId="0" applyFont="1" applyBorder="1" applyAlignment="1">
      <alignment horizontal="left" vertical="center"/>
    </xf>
    <xf numFmtId="43" fontId="4" fillId="0" borderId="7" xfId="3" applyFont="1" applyFill="1" applyBorder="1" applyAlignment="1">
      <alignment horizontal="center" vertical="center"/>
    </xf>
    <xf numFmtId="0" fontId="35" fillId="0" borderId="17" xfId="0" applyFont="1" applyBorder="1" applyAlignment="1">
      <alignment horizontal="center" vertical="center"/>
    </xf>
    <xf numFmtId="43" fontId="4" fillId="0" borderId="17" xfId="3" applyFont="1" applyFill="1" applyBorder="1" applyAlignment="1">
      <alignment horizontal="center" vertical="center"/>
    </xf>
    <xf numFmtId="43" fontId="40" fillId="0" borderId="4" xfId="0" applyNumberFormat="1" applyFont="1" applyBorder="1" applyAlignment="1">
      <alignment horizontal="center" vertical="center"/>
    </xf>
    <xf numFmtId="43" fontId="5" fillId="0" borderId="0" xfId="1" applyFont="1" applyFill="1" applyAlignment="1">
      <alignment horizontal="center" vertical="center"/>
    </xf>
    <xf numFmtId="43" fontId="40" fillId="0" borderId="11" xfId="0" applyNumberFormat="1" applyFont="1" applyBorder="1" applyAlignment="1">
      <alignment horizontal="center" vertical="center"/>
    </xf>
    <xf numFmtId="43" fontId="40" fillId="0" borderId="3" xfId="0" applyNumberFormat="1" applyFont="1" applyBorder="1" applyAlignment="1">
      <alignment horizontal="center" vertical="center"/>
    </xf>
    <xf numFmtId="0" fontId="40" fillId="0" borderId="0" xfId="0" applyFont="1" applyAlignment="1">
      <alignment horizontal="center" vertical="center"/>
    </xf>
    <xf numFmtId="0" fontId="45" fillId="0" borderId="0" xfId="0" applyFont="1"/>
    <xf numFmtId="0" fontId="46" fillId="0" borderId="0" xfId="0" applyFont="1" applyAlignment="1">
      <alignment horizontal="right" vertical="center"/>
    </xf>
    <xf numFmtId="0" fontId="46" fillId="0" borderId="1" xfId="0" applyFont="1" applyBorder="1" applyAlignment="1">
      <alignment horizontal="center" vertical="center"/>
    </xf>
    <xf numFmtId="43" fontId="46" fillId="0" borderId="1" xfId="3" applyFont="1" applyFill="1" applyBorder="1" applyAlignment="1">
      <alignment horizontal="center" vertical="center"/>
    </xf>
    <xf numFmtId="43" fontId="40" fillId="0" borderId="1" xfId="3" applyFont="1" applyFill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43" fontId="40" fillId="0" borderId="0" xfId="3" applyFont="1" applyFill="1" applyBorder="1" applyAlignment="1">
      <alignment horizontal="center" vertical="center"/>
    </xf>
    <xf numFmtId="43" fontId="40" fillId="0" borderId="0" xfId="3" applyFont="1" applyFill="1" applyBorder="1" applyAlignment="1">
      <alignment horizontal="right" vertical="center"/>
    </xf>
    <xf numFmtId="43" fontId="46" fillId="0" borderId="7" xfId="3" applyFont="1" applyFill="1" applyBorder="1" applyAlignment="1">
      <alignment horizontal="center" vertical="center"/>
    </xf>
    <xf numFmtId="43" fontId="46" fillId="0" borderId="17" xfId="3" applyFont="1" applyFill="1" applyBorder="1" applyAlignment="1">
      <alignment horizontal="center" vertical="center"/>
    </xf>
    <xf numFmtId="43" fontId="40" fillId="0" borderId="0" xfId="0" applyNumberFormat="1" applyFont="1" applyAlignment="1">
      <alignment horizontal="center" vertical="center"/>
    </xf>
    <xf numFmtId="0" fontId="46" fillId="0" borderId="0" xfId="0" applyFont="1" applyAlignment="1">
      <alignment horizontal="center" vertical="center"/>
    </xf>
    <xf numFmtId="43" fontId="40" fillId="0" borderId="2" xfId="0" applyNumberFormat="1" applyFont="1" applyBorder="1" applyAlignment="1">
      <alignment horizontal="center" vertical="center"/>
    </xf>
    <xf numFmtId="43" fontId="40" fillId="0" borderId="8" xfId="0" applyNumberFormat="1" applyFont="1" applyBorder="1" applyAlignment="1">
      <alignment horizontal="center" vertical="center"/>
    </xf>
    <xf numFmtId="43" fontId="40" fillId="0" borderId="7" xfId="0" applyNumberFormat="1" applyFont="1" applyBorder="1" applyAlignment="1">
      <alignment horizontal="center" vertical="center"/>
    </xf>
    <xf numFmtId="43" fontId="46" fillId="0" borderId="22" xfId="0" applyNumberFormat="1" applyFont="1" applyBorder="1" applyAlignment="1">
      <alignment horizontal="center" vertical="center"/>
    </xf>
    <xf numFmtId="43" fontId="46" fillId="0" borderId="23" xfId="0" applyNumberFormat="1" applyFont="1" applyBorder="1" applyAlignment="1">
      <alignment horizontal="center" vertical="center"/>
    </xf>
    <xf numFmtId="43" fontId="46" fillId="0" borderId="0" xfId="0" applyNumberFormat="1" applyFont="1" applyAlignment="1">
      <alignment horizontal="center" vertical="center"/>
    </xf>
    <xf numFmtId="43" fontId="45" fillId="0" borderId="0" xfId="0" applyNumberFormat="1" applyFont="1"/>
    <xf numFmtId="43" fontId="47" fillId="0" borderId="4" xfId="0" applyNumberFormat="1" applyFont="1" applyBorder="1" applyAlignment="1">
      <alignment horizontal="center" vertical="center"/>
    </xf>
    <xf numFmtId="43" fontId="47" fillId="0" borderId="11" xfId="0" applyNumberFormat="1" applyFont="1" applyBorder="1" applyAlignment="1">
      <alignment horizontal="center" vertical="center"/>
    </xf>
    <xf numFmtId="43" fontId="47" fillId="0" borderId="3" xfId="0" applyNumberFormat="1" applyFont="1" applyBorder="1" applyAlignment="1">
      <alignment horizontal="center" vertical="center"/>
    </xf>
    <xf numFmtId="43" fontId="48" fillId="0" borderId="22" xfId="0" applyNumberFormat="1" applyFont="1" applyBorder="1" applyAlignment="1">
      <alignment horizontal="center" vertical="center"/>
    </xf>
    <xf numFmtId="43" fontId="49" fillId="0" borderId="4" xfId="0" applyNumberFormat="1" applyFont="1" applyBorder="1" applyAlignment="1">
      <alignment horizontal="center" vertical="center"/>
    </xf>
    <xf numFmtId="43" fontId="49" fillId="0" borderId="11" xfId="0" applyNumberFormat="1" applyFont="1" applyBorder="1" applyAlignment="1">
      <alignment horizontal="center" vertical="center"/>
    </xf>
    <xf numFmtId="43" fontId="49" fillId="0" borderId="3" xfId="0" applyNumberFormat="1" applyFont="1" applyBorder="1" applyAlignment="1">
      <alignment horizontal="center" vertical="center"/>
    </xf>
    <xf numFmtId="43" fontId="50" fillId="0" borderId="22" xfId="0" applyNumberFormat="1" applyFont="1" applyBorder="1" applyAlignment="1">
      <alignment horizontal="center" vertical="center"/>
    </xf>
    <xf numFmtId="17" fontId="44" fillId="0" borderId="1" xfId="0" applyNumberFormat="1" applyFont="1" applyBorder="1" applyAlignment="1">
      <alignment horizontal="center" vertical="center"/>
    </xf>
    <xf numFmtId="43" fontId="51" fillId="0" borderId="4" xfId="0" applyNumberFormat="1" applyFont="1" applyBorder="1" applyAlignment="1">
      <alignment horizontal="center" vertical="center"/>
    </xf>
    <xf numFmtId="43" fontId="51" fillId="0" borderId="2" xfId="0" applyNumberFormat="1" applyFont="1" applyBorder="1" applyAlignment="1">
      <alignment horizontal="center" vertical="center"/>
    </xf>
    <xf numFmtId="43" fontId="51" fillId="0" borderId="11" xfId="0" applyNumberFormat="1" applyFont="1" applyBorder="1" applyAlignment="1">
      <alignment horizontal="center" vertical="center"/>
    </xf>
    <xf numFmtId="43" fontId="51" fillId="0" borderId="8" xfId="0" applyNumberFormat="1" applyFont="1" applyBorder="1" applyAlignment="1">
      <alignment horizontal="center" vertical="center"/>
    </xf>
    <xf numFmtId="43" fontId="51" fillId="0" borderId="3" xfId="0" applyNumberFormat="1" applyFont="1" applyBorder="1" applyAlignment="1">
      <alignment horizontal="center" vertical="center"/>
    </xf>
    <xf numFmtId="43" fontId="51" fillId="0" borderId="7" xfId="0" applyNumberFormat="1" applyFont="1" applyBorder="1" applyAlignment="1">
      <alignment horizontal="center" vertical="center"/>
    </xf>
    <xf numFmtId="43" fontId="52" fillId="0" borderId="22" xfId="0" applyNumberFormat="1" applyFont="1" applyBorder="1" applyAlignment="1">
      <alignment horizontal="center" vertical="center"/>
    </xf>
    <xf numFmtId="43" fontId="52" fillId="0" borderId="23" xfId="0" applyNumberFormat="1" applyFont="1" applyBorder="1" applyAlignment="1">
      <alignment horizontal="center" vertical="center"/>
    </xf>
    <xf numFmtId="43" fontId="48" fillId="0" borderId="0" xfId="0" applyNumberFormat="1" applyFont="1" applyAlignment="1">
      <alignment horizontal="center" vertical="center"/>
    </xf>
    <xf numFmtId="0" fontId="53" fillId="0" borderId="0" xfId="0" applyFont="1" applyAlignment="1">
      <alignment horizontal="center" vertical="center"/>
    </xf>
    <xf numFmtId="43" fontId="53" fillId="0" borderId="0" xfId="0" applyNumberFormat="1" applyFont="1" applyAlignment="1">
      <alignment horizontal="center" vertical="center"/>
    </xf>
    <xf numFmtId="43" fontId="43" fillId="0" borderId="24" xfId="0" applyNumberFormat="1" applyFont="1" applyBorder="1" applyAlignment="1">
      <alignment horizontal="center" vertical="center"/>
    </xf>
    <xf numFmtId="43" fontId="4" fillId="6" borderId="1" xfId="3" applyFont="1" applyFill="1" applyBorder="1" applyAlignment="1">
      <alignment horizontal="center" vertical="center"/>
    </xf>
    <xf numFmtId="43" fontId="4" fillId="6" borderId="22" xfId="0" applyNumberFormat="1" applyFont="1" applyFill="1" applyBorder="1" applyAlignment="1">
      <alignment horizontal="center" vertical="center"/>
    </xf>
    <xf numFmtId="43" fontId="53" fillId="7" borderId="0" xfId="0" applyNumberFormat="1" applyFont="1" applyFill="1" applyAlignment="1">
      <alignment horizontal="center" vertical="center"/>
    </xf>
    <xf numFmtId="43" fontId="4" fillId="7" borderId="1" xfId="3" applyFont="1" applyFill="1" applyBorder="1" applyAlignment="1">
      <alignment horizontal="center" vertical="center"/>
    </xf>
    <xf numFmtId="43" fontId="4" fillId="8" borderId="17" xfId="3" applyFont="1" applyFill="1" applyBorder="1" applyAlignment="1">
      <alignment horizontal="center" vertical="center"/>
    </xf>
    <xf numFmtId="43" fontId="17" fillId="8" borderId="24" xfId="0" applyNumberFormat="1" applyFont="1" applyFill="1" applyBorder="1" applyAlignment="1">
      <alignment horizontal="center" vertical="center"/>
    </xf>
    <xf numFmtId="0" fontId="54" fillId="0" borderId="0" xfId="0" applyFont="1"/>
    <xf numFmtId="0" fontId="44" fillId="0" borderId="1" xfId="0" applyFont="1" applyBorder="1" applyAlignment="1">
      <alignment horizontal="center" vertical="center"/>
    </xf>
    <xf numFmtId="43" fontId="44" fillId="0" borderId="1" xfId="3" applyFont="1" applyFill="1" applyBorder="1" applyAlignment="1">
      <alignment horizontal="center" vertical="center"/>
    </xf>
    <xf numFmtId="43" fontId="55" fillId="0" borderId="1" xfId="3" applyFont="1" applyFill="1" applyBorder="1" applyAlignment="1">
      <alignment horizontal="center" vertical="center"/>
    </xf>
    <xf numFmtId="43" fontId="55" fillId="0" borderId="0" xfId="3" applyFont="1" applyFill="1" applyBorder="1" applyAlignment="1">
      <alignment horizontal="center" vertical="center"/>
    </xf>
    <xf numFmtId="43" fontId="44" fillId="0" borderId="7" xfId="3" applyFont="1" applyFill="1" applyBorder="1" applyAlignment="1">
      <alignment horizontal="center" vertical="center"/>
    </xf>
    <xf numFmtId="0" fontId="55" fillId="0" borderId="0" xfId="0" applyFont="1" applyAlignment="1">
      <alignment horizontal="center" vertical="center"/>
    </xf>
    <xf numFmtId="43" fontId="44" fillId="0" borderId="17" xfId="3" applyFont="1" applyFill="1" applyBorder="1" applyAlignment="1">
      <alignment horizontal="center" vertical="center"/>
    </xf>
    <xf numFmtId="0" fontId="44" fillId="0" borderId="0" xfId="0" applyFont="1" applyAlignment="1">
      <alignment horizontal="center" vertical="center"/>
    </xf>
    <xf numFmtId="43" fontId="44" fillId="0" borderId="0" xfId="0" applyNumberFormat="1" applyFont="1" applyAlignment="1">
      <alignment horizontal="center" vertical="center"/>
    </xf>
    <xf numFmtId="43" fontId="55" fillId="0" borderId="0" xfId="0" applyNumberFormat="1" applyFont="1" applyAlignment="1">
      <alignment horizontal="center" vertical="center"/>
    </xf>
    <xf numFmtId="43" fontId="55" fillId="0" borderId="21" xfId="0" applyNumberFormat="1" applyFont="1" applyBorder="1" applyAlignment="1">
      <alignment horizontal="center" vertical="center"/>
    </xf>
    <xf numFmtId="43" fontId="44" fillId="0" borderId="24" xfId="0" applyNumberFormat="1" applyFont="1" applyBorder="1" applyAlignment="1">
      <alignment horizontal="center" vertical="center"/>
    </xf>
    <xf numFmtId="43" fontId="54" fillId="0" borderId="0" xfId="0" applyNumberFormat="1" applyFont="1"/>
    <xf numFmtId="0" fontId="56" fillId="0" borderId="0" xfId="0" applyFont="1"/>
    <xf numFmtId="0" fontId="42" fillId="0" borderId="1" xfId="0" applyFont="1" applyBorder="1" applyAlignment="1">
      <alignment horizontal="center" vertical="center"/>
    </xf>
    <xf numFmtId="43" fontId="42" fillId="0" borderId="1" xfId="3" applyFont="1" applyFill="1" applyBorder="1" applyAlignment="1">
      <alignment horizontal="center" vertical="center"/>
    </xf>
    <xf numFmtId="43" fontId="57" fillId="0" borderId="1" xfId="3" applyFont="1" applyFill="1" applyBorder="1" applyAlignment="1">
      <alignment horizontal="center" vertical="center"/>
    </xf>
    <xf numFmtId="43" fontId="57" fillId="0" borderId="0" xfId="3" applyFont="1" applyFill="1" applyBorder="1" applyAlignment="1">
      <alignment horizontal="center" vertical="center"/>
    </xf>
    <xf numFmtId="43" fontId="42" fillId="0" borderId="7" xfId="3" applyFont="1" applyFill="1" applyBorder="1" applyAlignment="1">
      <alignment horizontal="center" vertical="center"/>
    </xf>
    <xf numFmtId="0" fontId="57" fillId="0" borderId="0" xfId="0" applyFont="1" applyAlignment="1">
      <alignment horizontal="center" vertical="center"/>
    </xf>
    <xf numFmtId="43" fontId="42" fillId="0" borderId="17" xfId="3" applyFont="1" applyFill="1" applyBorder="1" applyAlignment="1">
      <alignment horizontal="center" vertical="center"/>
    </xf>
    <xf numFmtId="0" fontId="42" fillId="0" borderId="0" xfId="0" applyFont="1" applyAlignment="1">
      <alignment horizontal="center" vertical="center"/>
    </xf>
    <xf numFmtId="43" fontId="42" fillId="0" borderId="0" xfId="0" applyNumberFormat="1" applyFont="1" applyAlignment="1">
      <alignment horizontal="center" vertical="center"/>
    </xf>
    <xf numFmtId="43" fontId="57" fillId="0" borderId="0" xfId="0" applyNumberFormat="1" applyFont="1" applyAlignment="1">
      <alignment horizontal="center" vertical="center"/>
    </xf>
    <xf numFmtId="43" fontId="57" fillId="0" borderId="21" xfId="0" applyNumberFormat="1" applyFont="1" applyBorder="1" applyAlignment="1">
      <alignment horizontal="center" vertical="center"/>
    </xf>
    <xf numFmtId="43" fontId="58" fillId="0" borderId="0" xfId="0" applyNumberFormat="1" applyFont="1" applyAlignment="1">
      <alignment horizontal="center" vertical="center"/>
    </xf>
    <xf numFmtId="43" fontId="42" fillId="0" borderId="24" xfId="0" applyNumberFormat="1" applyFont="1" applyBorder="1" applyAlignment="1">
      <alignment horizontal="center" vertical="center"/>
    </xf>
    <xf numFmtId="43" fontId="56" fillId="0" borderId="0" xfId="0" applyNumberFormat="1" applyFont="1"/>
    <xf numFmtId="0" fontId="59" fillId="0" borderId="0" xfId="0" applyFont="1"/>
    <xf numFmtId="0" fontId="41" fillId="0" borderId="1" xfId="0" applyFont="1" applyBorder="1" applyAlignment="1">
      <alignment horizontal="center" vertical="center"/>
    </xf>
    <xf numFmtId="43" fontId="41" fillId="0" borderId="1" xfId="3" applyFont="1" applyFill="1" applyBorder="1" applyAlignment="1">
      <alignment horizontal="center" vertical="center"/>
    </xf>
    <xf numFmtId="43" fontId="43" fillId="0" borderId="1" xfId="3" applyFont="1" applyFill="1" applyBorder="1" applyAlignment="1">
      <alignment horizontal="center" vertical="center"/>
    </xf>
    <xf numFmtId="43" fontId="43" fillId="0" borderId="0" xfId="3" applyFont="1" applyFill="1" applyBorder="1" applyAlignment="1">
      <alignment horizontal="center" vertical="center"/>
    </xf>
    <xf numFmtId="43" fontId="41" fillId="0" borderId="7" xfId="3" applyFont="1" applyFill="1" applyBorder="1" applyAlignment="1">
      <alignment horizontal="center" vertical="center"/>
    </xf>
    <xf numFmtId="0" fontId="43" fillId="0" borderId="0" xfId="0" applyFont="1" applyAlignment="1">
      <alignment horizontal="center" vertical="center"/>
    </xf>
    <xf numFmtId="43" fontId="41" fillId="0" borderId="17" xfId="3" applyFont="1" applyFill="1" applyBorder="1" applyAlignment="1">
      <alignment horizontal="center" vertical="center"/>
    </xf>
    <xf numFmtId="43" fontId="43" fillId="0" borderId="0" xfId="0" applyNumberFormat="1" applyFont="1" applyAlignment="1">
      <alignment horizontal="center" vertical="center"/>
    </xf>
    <xf numFmtId="43" fontId="41" fillId="0" borderId="0" xfId="0" applyNumberFormat="1" applyFont="1" applyAlignment="1">
      <alignment horizontal="center" vertical="center"/>
    </xf>
    <xf numFmtId="43" fontId="41" fillId="0" borderId="24" xfId="0" applyNumberFormat="1" applyFont="1" applyBorder="1" applyAlignment="1">
      <alignment horizontal="center" vertical="center"/>
    </xf>
    <xf numFmtId="43" fontId="43" fillId="0" borderId="21" xfId="0" applyNumberFormat="1" applyFont="1" applyBorder="1" applyAlignment="1">
      <alignment horizontal="center" vertical="center"/>
    </xf>
    <xf numFmtId="43" fontId="60" fillId="0" borderId="0" xfId="0" applyNumberFormat="1" applyFont="1" applyAlignment="1">
      <alignment horizontal="center" vertical="center"/>
    </xf>
    <xf numFmtId="43" fontId="18" fillId="0" borderId="0" xfId="0" applyNumberFormat="1" applyFont="1" applyAlignment="1">
      <alignment horizontal="center" vertical="center"/>
    </xf>
    <xf numFmtId="43" fontId="41" fillId="0" borderId="9" xfId="0" applyNumberFormat="1" applyFont="1" applyBorder="1" applyAlignment="1">
      <alignment horizontal="center" vertical="center"/>
    </xf>
    <xf numFmtId="43" fontId="59" fillId="0" borderId="0" xfId="0" applyNumberFormat="1" applyFont="1"/>
    <xf numFmtId="43" fontId="37" fillId="6" borderId="0" xfId="0" applyNumberFormat="1" applyFont="1" applyFill="1" applyAlignment="1">
      <alignment horizontal="center" vertical="center"/>
    </xf>
    <xf numFmtId="43" fontId="4" fillId="0" borderId="24" xfId="0" applyNumberFormat="1" applyFont="1" applyBorder="1" applyAlignment="1">
      <alignment horizontal="center" vertical="center"/>
    </xf>
    <xf numFmtId="43" fontId="15" fillId="6" borderId="0" xfId="0" applyNumberFormat="1" applyFont="1" applyFill="1" applyAlignment="1">
      <alignment horizontal="center" vertical="center"/>
    </xf>
    <xf numFmtId="187" fontId="5" fillId="0" borderId="18" xfId="1" applyNumberFormat="1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187" fontId="22" fillId="0" borderId="8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 indent="3"/>
    </xf>
    <xf numFmtId="0" fontId="5" fillId="0" borderId="20" xfId="0" applyFont="1" applyBorder="1" applyAlignment="1">
      <alignment horizontal="center" vertical="center"/>
    </xf>
    <xf numFmtId="187" fontId="4" fillId="0" borderId="20" xfId="1" applyNumberFormat="1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187" fontId="22" fillId="0" borderId="15" xfId="0" applyNumberFormat="1" applyFont="1" applyBorder="1" applyAlignment="1">
      <alignment horizontal="center" vertical="center"/>
    </xf>
    <xf numFmtId="187" fontId="22" fillId="0" borderId="25" xfId="0" applyNumberFormat="1" applyFont="1" applyBorder="1" applyAlignment="1">
      <alignment horizontal="center" vertical="center"/>
    </xf>
    <xf numFmtId="187" fontId="5" fillId="0" borderId="15" xfId="2" applyNumberFormat="1" applyFont="1" applyBorder="1" applyAlignment="1">
      <alignment horizontal="center" vertical="center"/>
    </xf>
    <xf numFmtId="187" fontId="5" fillId="0" borderId="18" xfId="2" applyNumberFormat="1" applyFont="1" applyBorder="1" applyAlignment="1">
      <alignment horizontal="center" vertical="center"/>
    </xf>
    <xf numFmtId="0" fontId="5" fillId="0" borderId="11" xfId="0" quotePrefix="1" applyFont="1" applyBorder="1" applyAlignment="1">
      <alignment horizontal="left" vertical="center" indent="3"/>
    </xf>
    <xf numFmtId="0" fontId="61" fillId="0" borderId="8" xfId="0" quotePrefix="1" applyFont="1" applyBorder="1" applyAlignment="1">
      <alignment horizontal="left" vertical="center" wrapText="1" indent="3"/>
    </xf>
    <xf numFmtId="187" fontId="61" fillId="0" borderId="16" xfId="1" applyNumberFormat="1" applyFont="1" applyBorder="1" applyAlignment="1">
      <alignment horizontal="center" vertical="center"/>
    </xf>
    <xf numFmtId="187" fontId="4" fillId="0" borderId="8" xfId="1" applyNumberFormat="1" applyFont="1" applyBorder="1" applyAlignment="1">
      <alignment horizontal="center" vertical="center"/>
    </xf>
    <xf numFmtId="0" fontId="34" fillId="0" borderId="15" xfId="0" applyFont="1" applyBorder="1" applyAlignment="1">
      <alignment horizontal="center" vertical="center"/>
    </xf>
    <xf numFmtId="187" fontId="34" fillId="0" borderId="15" xfId="1" applyNumberFormat="1" applyFont="1" applyBorder="1" applyAlignment="1">
      <alignment horizontal="center" vertical="center"/>
    </xf>
    <xf numFmtId="0" fontId="34" fillId="0" borderId="18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187" fontId="5" fillId="0" borderId="15" xfId="1" applyNumberFormat="1" applyFont="1" applyBorder="1" applyAlignment="1">
      <alignment horizontal="center" vertical="center"/>
    </xf>
    <xf numFmtId="43" fontId="5" fillId="0" borderId="18" xfId="1" applyFont="1" applyBorder="1" applyAlignment="1">
      <alignment horizontal="center" vertical="center"/>
    </xf>
    <xf numFmtId="0" fontId="34" fillId="0" borderId="7" xfId="0" applyFont="1" applyBorder="1"/>
    <xf numFmtId="0" fontId="29" fillId="0" borderId="8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187" fontId="4" fillId="0" borderId="0" xfId="0" applyNumberFormat="1" applyFont="1" applyAlignment="1">
      <alignment vertical="center"/>
    </xf>
    <xf numFmtId="0" fontId="4" fillId="3" borderId="2" xfId="0" applyFont="1" applyFill="1" applyBorder="1" applyAlignment="1">
      <alignment horizontal="left" vertical="center"/>
    </xf>
    <xf numFmtId="187" fontId="22" fillId="3" borderId="3" xfId="1" applyNumberFormat="1" applyFont="1" applyFill="1" applyBorder="1" applyAlignment="1">
      <alignment horizontal="center" vertical="center"/>
    </xf>
    <xf numFmtId="187" fontId="22" fillId="2" borderId="1" xfId="1" applyNumberFormat="1" applyFont="1" applyFill="1" applyBorder="1" applyAlignment="1">
      <alignment horizontal="center" vertical="center"/>
    </xf>
    <xf numFmtId="187" fontId="22" fillId="0" borderId="2" xfId="1" applyNumberFormat="1" applyFont="1" applyBorder="1" applyAlignment="1">
      <alignment horizontal="center" vertical="center"/>
    </xf>
    <xf numFmtId="187" fontId="22" fillId="3" borderId="1" xfId="1" applyNumberFormat="1" applyFont="1" applyFill="1" applyBorder="1" applyAlignment="1">
      <alignment horizontal="center" vertical="center"/>
    </xf>
    <xf numFmtId="187" fontId="4" fillId="3" borderId="1" xfId="1" applyNumberFormat="1" applyFont="1" applyFill="1" applyBorder="1" applyAlignment="1">
      <alignment vertical="center"/>
    </xf>
    <xf numFmtId="187" fontId="22" fillId="5" borderId="11" xfId="0" applyNumberFormat="1" applyFont="1" applyFill="1" applyBorder="1" applyAlignment="1">
      <alignment horizontal="center" vertical="center"/>
    </xf>
    <xf numFmtId="0" fontId="23" fillId="0" borderId="0" xfId="0" applyFont="1" applyAlignment="1">
      <alignment vertical="center"/>
    </xf>
    <xf numFmtId="0" fontId="4" fillId="0" borderId="9" xfId="0" applyFont="1" applyBorder="1" applyAlignment="1">
      <alignment horizontal="center" vertical="center"/>
    </xf>
    <xf numFmtId="43" fontId="4" fillId="2" borderId="1" xfId="0" applyNumberFormat="1" applyFont="1" applyFill="1" applyBorder="1" applyAlignment="1">
      <alignment horizontal="center" vertical="center"/>
    </xf>
    <xf numFmtId="43" fontId="5" fillId="0" borderId="16" xfId="1" applyFont="1" applyBorder="1" applyAlignment="1">
      <alignment horizontal="center" vertical="center"/>
    </xf>
    <xf numFmtId="187" fontId="4" fillId="0" borderId="8" xfId="0" applyNumberFormat="1" applyFont="1" applyBorder="1" applyAlignment="1">
      <alignment horizontal="left" vertical="center"/>
    </xf>
    <xf numFmtId="187" fontId="22" fillId="0" borderId="0" xfId="0" applyNumberFormat="1" applyFont="1" applyAlignment="1">
      <alignment horizontal="center" vertical="center"/>
    </xf>
    <xf numFmtId="187" fontId="22" fillId="0" borderId="20" xfId="0" applyNumberFormat="1" applyFont="1" applyBorder="1" applyAlignment="1">
      <alignment horizontal="center" vertical="center"/>
    </xf>
    <xf numFmtId="187" fontId="4" fillId="0" borderId="20" xfId="2" applyNumberFormat="1" applyFont="1" applyBorder="1" applyAlignment="1">
      <alignment horizontal="center" vertical="center"/>
    </xf>
    <xf numFmtId="187" fontId="5" fillId="0" borderId="0" xfId="1" applyNumberFormat="1" applyFont="1" applyBorder="1" applyAlignment="1">
      <alignment horizontal="center" vertical="center"/>
    </xf>
    <xf numFmtId="187" fontId="26" fillId="0" borderId="8" xfId="0" applyNumberFormat="1" applyFont="1" applyBorder="1" applyAlignment="1">
      <alignment horizontal="left" vertical="center"/>
    </xf>
    <xf numFmtId="187" fontId="34" fillId="0" borderId="18" xfId="1" applyNumberFormat="1" applyFont="1" applyBorder="1" applyAlignment="1">
      <alignment horizontal="center" vertical="center"/>
    </xf>
    <xf numFmtId="187" fontId="34" fillId="0" borderId="16" xfId="1" applyNumberFormat="1" applyFont="1" applyFill="1" applyBorder="1" applyAlignment="1">
      <alignment horizontal="center" vertical="center"/>
    </xf>
    <xf numFmtId="187" fontId="5" fillId="0" borderId="27" xfId="1" applyNumberFormat="1" applyFont="1" applyBorder="1" applyAlignment="1">
      <alignment horizontal="center" vertical="center"/>
    </xf>
    <xf numFmtId="187" fontId="22" fillId="0" borderId="8" xfId="1" applyNumberFormat="1" applyFont="1" applyBorder="1" applyAlignment="1">
      <alignment horizontal="center" vertical="center"/>
    </xf>
    <xf numFmtId="43" fontId="23" fillId="9" borderId="0" xfId="1" applyFont="1" applyFill="1" applyAlignment="1">
      <alignment vertical="center"/>
    </xf>
    <xf numFmtId="43" fontId="23" fillId="9" borderId="0" xfId="1" applyFont="1" applyFill="1"/>
    <xf numFmtId="187" fontId="26" fillId="0" borderId="26" xfId="0" applyNumberFormat="1" applyFont="1" applyBorder="1" applyAlignment="1">
      <alignment horizontal="center" vertical="center"/>
    </xf>
    <xf numFmtId="187" fontId="22" fillId="0" borderId="0" xfId="2" applyNumberFormat="1" applyFont="1" applyBorder="1" applyAlignment="1">
      <alignment horizontal="left" vertical="center" indent="4"/>
    </xf>
    <xf numFmtId="187" fontId="22" fillId="2" borderId="7" xfId="0" applyNumberFormat="1" applyFont="1" applyFill="1" applyBorder="1" applyAlignment="1">
      <alignment horizontal="center" vertical="center"/>
    </xf>
    <xf numFmtId="187" fontId="5" fillId="0" borderId="3" xfId="0" applyNumberFormat="1" applyFont="1" applyBorder="1" applyAlignment="1">
      <alignment horizontal="center" vertical="center"/>
    </xf>
    <xf numFmtId="0" fontId="4" fillId="3" borderId="7" xfId="0" applyFont="1" applyFill="1" applyBorder="1" applyAlignment="1">
      <alignment horizontal="left" vertical="center"/>
    </xf>
    <xf numFmtId="187" fontId="22" fillId="0" borderId="16" xfId="1" applyNumberFormat="1" applyFont="1" applyBorder="1" applyAlignment="1">
      <alignment horizontal="center" vertical="center"/>
    </xf>
    <xf numFmtId="187" fontId="22" fillId="0" borderId="18" xfId="1" applyNumberFormat="1" applyFont="1" applyBorder="1" applyAlignment="1">
      <alignment horizontal="center" vertical="center"/>
    </xf>
    <xf numFmtId="187" fontId="5" fillId="0" borderId="18" xfId="0" applyNumberFormat="1" applyFont="1" applyBorder="1" applyAlignment="1">
      <alignment horizontal="center" vertical="center"/>
    </xf>
    <xf numFmtId="187" fontId="5" fillId="0" borderId="15" xfId="0" applyNumberFormat="1" applyFont="1" applyBorder="1" applyAlignment="1">
      <alignment horizontal="center" vertical="center"/>
    </xf>
    <xf numFmtId="0" fontId="62" fillId="0" borderId="0" xfId="0" applyFont="1"/>
    <xf numFmtId="187" fontId="4" fillId="5" borderId="11" xfId="0" applyNumberFormat="1" applyFont="1" applyFill="1" applyBorder="1" applyAlignment="1">
      <alignment horizontal="center" vertical="center"/>
    </xf>
    <xf numFmtId="187" fontId="22" fillId="5" borderId="16" xfId="0" applyNumberFormat="1" applyFont="1" applyFill="1" applyBorder="1" applyAlignment="1">
      <alignment horizontal="center" vertical="center"/>
    </xf>
    <xf numFmtId="187" fontId="26" fillId="0" borderId="19" xfId="0" applyNumberFormat="1" applyFont="1" applyBorder="1" applyAlignment="1">
      <alignment horizontal="center" vertical="center"/>
    </xf>
    <xf numFmtId="187" fontId="26" fillId="0" borderId="25" xfId="0" applyNumberFormat="1" applyFont="1" applyBorder="1" applyAlignment="1">
      <alignment horizontal="center" vertical="center"/>
    </xf>
    <xf numFmtId="187" fontId="26" fillId="0" borderId="3" xfId="0" applyNumberFormat="1" applyFont="1" applyBorder="1" applyAlignment="1">
      <alignment horizontal="center" vertical="center"/>
    </xf>
    <xf numFmtId="187" fontId="26" fillId="0" borderId="2" xfId="1" applyNumberFormat="1" applyFont="1" applyBorder="1" applyAlignment="1">
      <alignment horizontal="center" vertical="center"/>
    </xf>
    <xf numFmtId="187" fontId="26" fillId="0" borderId="19" xfId="1" applyNumberFormat="1" applyFont="1" applyBorder="1" applyAlignment="1">
      <alignment horizontal="center" vertical="center"/>
    </xf>
    <xf numFmtId="0" fontId="34" fillId="0" borderId="27" xfId="0" applyFont="1" applyBorder="1" applyAlignment="1">
      <alignment horizontal="center" vertical="center"/>
    </xf>
    <xf numFmtId="187" fontId="26" fillId="0" borderId="28" xfId="0" applyNumberFormat="1" applyFont="1" applyBorder="1" applyAlignment="1">
      <alignment horizontal="center" vertical="center"/>
    </xf>
    <xf numFmtId="187" fontId="34" fillId="0" borderId="27" xfId="1" applyNumberFormat="1" applyFont="1" applyBorder="1" applyAlignment="1">
      <alignment horizontal="center" vertical="center"/>
    </xf>
    <xf numFmtId="187" fontId="34" fillId="0" borderId="27" xfId="1" applyNumberFormat="1" applyFont="1" applyFill="1" applyBorder="1" applyAlignment="1">
      <alignment horizontal="center" vertical="center"/>
    </xf>
    <xf numFmtId="43" fontId="4" fillId="0" borderId="1" xfId="3" applyFont="1" applyBorder="1" applyAlignment="1">
      <alignment horizontal="center" vertical="center"/>
    </xf>
    <xf numFmtId="0" fontId="35" fillId="0" borderId="0" xfId="0" applyFont="1" applyAlignment="1">
      <alignment horizontal="center" vertical="center"/>
    </xf>
    <xf numFmtId="43" fontId="23" fillId="0" borderId="16" xfId="1" applyFont="1" applyBorder="1"/>
    <xf numFmtId="187" fontId="5" fillId="0" borderId="27" xfId="2" applyNumberFormat="1" applyFont="1" applyBorder="1" applyAlignment="1">
      <alignment horizontal="center" vertical="center"/>
    </xf>
    <xf numFmtId="0" fontId="29" fillId="9" borderId="1" xfId="0" applyFont="1" applyFill="1" applyBorder="1" applyAlignment="1">
      <alignment horizontal="left" vertical="center"/>
    </xf>
    <xf numFmtId="43" fontId="5" fillId="6" borderId="0" xfId="0" applyNumberFormat="1" applyFont="1" applyFill="1" applyAlignment="1">
      <alignment horizontal="center" vertical="center"/>
    </xf>
    <xf numFmtId="187" fontId="22" fillId="3" borderId="11" xfId="0" applyNumberFormat="1" applyFont="1" applyFill="1" applyBorder="1" applyAlignment="1">
      <alignment horizontal="center" vertical="center"/>
    </xf>
    <xf numFmtId="187" fontId="4" fillId="3" borderId="2" xfId="1" applyNumberFormat="1" applyFont="1" applyFill="1" applyBorder="1" applyAlignment="1">
      <alignment horizontal="right" vertical="center"/>
    </xf>
    <xf numFmtId="0" fontId="5" fillId="0" borderId="3" xfId="0" quotePrefix="1" applyFont="1" applyBorder="1" applyAlignment="1">
      <alignment horizontal="left" vertical="center" indent="3"/>
    </xf>
    <xf numFmtId="187" fontId="4" fillId="0" borderId="18" xfId="1" applyNumberFormat="1" applyFont="1" applyBorder="1" applyAlignment="1">
      <alignment horizontal="center" vertical="center"/>
    </xf>
    <xf numFmtId="187" fontId="22" fillId="0" borderId="28" xfId="1" applyNumberFormat="1" applyFont="1" applyBorder="1" applyAlignment="1">
      <alignment horizontal="center" vertical="center"/>
    </xf>
    <xf numFmtId="187" fontId="5" fillId="0" borderId="28" xfId="1" applyNumberFormat="1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187" fontId="4" fillId="3" borderId="0" xfId="1" applyNumberFormat="1" applyFont="1" applyFill="1" applyBorder="1" applyAlignment="1">
      <alignment horizontal="right" vertical="center"/>
    </xf>
    <xf numFmtId="187" fontId="5" fillId="2" borderId="0" xfId="1" applyNumberFormat="1" applyFont="1" applyFill="1" applyBorder="1" applyAlignment="1">
      <alignment horizontal="center" vertical="center"/>
    </xf>
    <xf numFmtId="187" fontId="4" fillId="0" borderId="0" xfId="1" applyNumberFormat="1" applyFont="1" applyBorder="1" applyAlignment="1">
      <alignment horizontal="center" vertical="center"/>
    </xf>
    <xf numFmtId="187" fontId="22" fillId="3" borderId="0" xfId="0" applyNumberFormat="1" applyFont="1" applyFill="1" applyAlignment="1">
      <alignment horizontal="center" vertical="center"/>
    </xf>
    <xf numFmtId="187" fontId="4" fillId="3" borderId="0" xfId="0" applyNumberFormat="1" applyFont="1" applyFill="1" applyAlignment="1">
      <alignment vertical="center"/>
    </xf>
    <xf numFmtId="187" fontId="4" fillId="0" borderId="0" xfId="2" applyNumberFormat="1" applyFont="1" applyBorder="1" applyAlignment="1">
      <alignment horizontal="center" vertical="center"/>
    </xf>
    <xf numFmtId="187" fontId="4" fillId="0" borderId="0" xfId="2" applyNumberFormat="1" applyFont="1" applyFill="1" applyBorder="1" applyAlignment="1">
      <alignment horizontal="center" vertical="center"/>
    </xf>
    <xf numFmtId="187" fontId="22" fillId="0" borderId="0" xfId="2" applyNumberFormat="1" applyFont="1" applyBorder="1" applyAlignment="1">
      <alignment horizontal="center" vertical="center"/>
    </xf>
    <xf numFmtId="187" fontId="4" fillId="0" borderId="18" xfId="2" applyNumberFormat="1" applyFont="1" applyBorder="1" applyAlignment="1">
      <alignment horizontal="center" vertical="center"/>
    </xf>
    <xf numFmtId="187" fontId="22" fillId="3" borderId="7" xfId="2" applyNumberFormat="1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187" fontId="22" fillId="2" borderId="3" xfId="0" applyNumberFormat="1" applyFont="1" applyFill="1" applyBorder="1" applyAlignment="1">
      <alignment horizontal="center" vertical="center"/>
    </xf>
    <xf numFmtId="187" fontId="4" fillId="2" borderId="1" xfId="2" applyNumberFormat="1" applyFont="1" applyFill="1" applyBorder="1" applyAlignment="1">
      <alignment horizontal="right" vertical="center"/>
    </xf>
    <xf numFmtId="0" fontId="4" fillId="2" borderId="13" xfId="0" applyFont="1" applyFill="1" applyBorder="1" applyAlignment="1">
      <alignment horizontal="center" vertical="center"/>
    </xf>
    <xf numFmtId="187" fontId="22" fillId="2" borderId="13" xfId="0" applyNumberFormat="1" applyFont="1" applyFill="1" applyBorder="1" applyAlignment="1">
      <alignment horizontal="center" vertical="center"/>
    </xf>
    <xf numFmtId="187" fontId="4" fillId="2" borderId="1" xfId="1" applyNumberFormat="1" applyFont="1" applyFill="1" applyBorder="1" applyAlignment="1">
      <alignment horizontal="right" vertical="center"/>
    </xf>
    <xf numFmtId="187" fontId="22" fillId="0" borderId="0" xfId="1" applyNumberFormat="1" applyFont="1" applyBorder="1" applyAlignment="1">
      <alignment horizontal="center" vertical="center"/>
    </xf>
    <xf numFmtId="43" fontId="5" fillId="0" borderId="0" xfId="1" applyFont="1" applyBorder="1" applyAlignment="1">
      <alignment horizontal="center" vertical="center"/>
    </xf>
    <xf numFmtId="187" fontId="61" fillId="0" borderId="0" xfId="1" applyNumberFormat="1" applyFont="1" applyBorder="1" applyAlignment="1">
      <alignment horizontal="center" vertical="center"/>
    </xf>
    <xf numFmtId="187" fontId="22" fillId="2" borderId="3" xfId="1" applyNumberFormat="1" applyFont="1" applyFill="1" applyBorder="1" applyAlignment="1">
      <alignment horizontal="center" vertical="center"/>
    </xf>
    <xf numFmtId="0" fontId="61" fillId="0" borderId="7" xfId="0" quotePrefix="1" applyFont="1" applyBorder="1" applyAlignment="1">
      <alignment horizontal="left" vertical="center" wrapText="1" indent="3"/>
    </xf>
    <xf numFmtId="0" fontId="22" fillId="2" borderId="2" xfId="0" applyFont="1" applyFill="1" applyBorder="1" applyAlignment="1">
      <alignment horizontal="left" vertical="center"/>
    </xf>
    <xf numFmtId="0" fontId="22" fillId="2" borderId="13" xfId="0" applyFont="1" applyFill="1" applyBorder="1" applyAlignment="1">
      <alignment horizontal="center" vertical="center"/>
    </xf>
    <xf numFmtId="0" fontId="22" fillId="2" borderId="8" xfId="0" applyFont="1" applyFill="1" applyBorder="1" applyAlignment="1">
      <alignment horizontal="left" vertical="center"/>
    </xf>
    <xf numFmtId="0" fontId="22" fillId="2" borderId="3" xfId="0" applyFont="1" applyFill="1" applyBorder="1" applyAlignment="1">
      <alignment horizontal="center" vertical="center"/>
    </xf>
    <xf numFmtId="187" fontId="22" fillId="2" borderId="1" xfId="1" applyNumberFormat="1" applyFont="1" applyFill="1" applyBorder="1" applyAlignment="1">
      <alignment horizontal="right" vertical="center"/>
    </xf>
    <xf numFmtId="187" fontId="33" fillId="2" borderId="3" xfId="0" applyNumberFormat="1" applyFont="1" applyFill="1" applyBorder="1" applyAlignment="1">
      <alignment horizontal="center" vertical="center"/>
    </xf>
    <xf numFmtId="0" fontId="33" fillId="2" borderId="7" xfId="0" applyFont="1" applyFill="1" applyBorder="1" applyAlignment="1">
      <alignment horizontal="left" vertical="center"/>
    </xf>
    <xf numFmtId="187" fontId="33" fillId="2" borderId="7" xfId="1" applyNumberFormat="1" applyFont="1" applyFill="1" applyBorder="1" applyAlignment="1">
      <alignment horizontal="right" vertical="center"/>
    </xf>
    <xf numFmtId="0" fontId="26" fillId="2" borderId="8" xfId="0" applyFont="1" applyFill="1" applyBorder="1" applyAlignment="1">
      <alignment horizontal="left" vertical="center"/>
    </xf>
    <xf numFmtId="0" fontId="26" fillId="2" borderId="3" xfId="0" applyFont="1" applyFill="1" applyBorder="1" applyAlignment="1">
      <alignment horizontal="center" vertical="center"/>
    </xf>
    <xf numFmtId="187" fontId="26" fillId="2" borderId="1" xfId="0" applyNumberFormat="1" applyFont="1" applyFill="1" applyBorder="1" applyAlignment="1">
      <alignment horizontal="center" vertical="center"/>
    </xf>
    <xf numFmtId="0" fontId="26" fillId="2" borderId="7" xfId="0" applyFont="1" applyFill="1" applyBorder="1" applyAlignment="1">
      <alignment horizontal="left" vertical="center"/>
    </xf>
    <xf numFmtId="187" fontId="26" fillId="2" borderId="1" xfId="1" applyNumberFormat="1" applyFont="1" applyFill="1" applyBorder="1" applyAlignment="1">
      <alignment horizontal="right" vertical="center"/>
    </xf>
    <xf numFmtId="0" fontId="26" fillId="0" borderId="2" xfId="0" applyFont="1" applyBorder="1"/>
    <xf numFmtId="0" fontId="34" fillId="0" borderId="20" xfId="0" applyFont="1" applyBorder="1" applyAlignment="1">
      <alignment horizontal="center" vertical="center"/>
    </xf>
    <xf numFmtId="187" fontId="26" fillId="0" borderId="29" xfId="0" applyNumberFormat="1" applyFont="1" applyBorder="1" applyAlignment="1">
      <alignment horizontal="center" vertical="center"/>
    </xf>
    <xf numFmtId="187" fontId="26" fillId="0" borderId="20" xfId="1" applyNumberFormat="1" applyFont="1" applyFill="1" applyBorder="1" applyAlignment="1">
      <alignment horizontal="right" vertical="center"/>
    </xf>
    <xf numFmtId="0" fontId="4" fillId="0" borderId="8" xfId="0" quotePrefix="1" applyFont="1" applyBorder="1" applyAlignment="1">
      <alignment horizontal="left" vertical="center" indent="3"/>
    </xf>
    <xf numFmtId="0" fontId="4" fillId="0" borderId="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5" fillId="0" borderId="0" xfId="0" applyFont="1" applyAlignment="1">
      <alignment horizontal="right" vertical="top"/>
    </xf>
    <xf numFmtId="0" fontId="26" fillId="0" borderId="11" xfId="0" applyFont="1" applyBorder="1" applyAlignment="1">
      <alignment horizontal="center" vertical="center"/>
    </xf>
    <xf numFmtId="0" fontId="26" fillId="0" borderId="19" xfId="0" applyFont="1" applyBorder="1" applyAlignment="1">
      <alignment horizontal="center" vertical="center"/>
    </xf>
    <xf numFmtId="0" fontId="26" fillId="0" borderId="5" xfId="0" applyFont="1" applyBorder="1" applyAlignment="1">
      <alignment horizontal="center" vertical="center"/>
    </xf>
    <xf numFmtId="0" fontId="5" fillId="0" borderId="7" xfId="0" quotePrefix="1" applyFont="1" applyBorder="1" applyAlignment="1">
      <alignment horizontal="left" vertical="center" wrapText="1" indent="3"/>
    </xf>
    <xf numFmtId="187" fontId="22" fillId="0" borderId="15" xfId="1" applyNumberFormat="1" applyFont="1" applyBorder="1" applyAlignment="1">
      <alignment horizontal="center" vertical="center"/>
    </xf>
    <xf numFmtId="43" fontId="23" fillId="0" borderId="18" xfId="1" applyFont="1" applyBorder="1"/>
    <xf numFmtId="0" fontId="23" fillId="10" borderId="0" xfId="0" applyFont="1" applyFill="1"/>
    <xf numFmtId="0" fontId="5" fillId="6" borderId="0" xfId="0" applyFont="1" applyFill="1" applyAlignment="1">
      <alignment horizontal="center" vertical="center"/>
    </xf>
    <xf numFmtId="0" fontId="4" fillId="6" borderId="0" xfId="0" applyFont="1" applyFill="1" applyAlignment="1">
      <alignment horizontal="center" vertical="center"/>
    </xf>
    <xf numFmtId="43" fontId="5" fillId="0" borderId="2" xfId="1" applyFont="1" applyBorder="1" applyAlignment="1">
      <alignment horizontal="center" vertical="center"/>
    </xf>
    <xf numFmtId="43" fontId="5" fillId="6" borderId="0" xfId="1" applyFont="1" applyFill="1" applyAlignment="1">
      <alignment horizontal="center" vertical="center"/>
    </xf>
    <xf numFmtId="0" fontId="23" fillId="6" borderId="0" xfId="0" applyFont="1" applyFill="1"/>
    <xf numFmtId="43" fontId="4" fillId="2" borderId="1" xfId="1" applyFont="1" applyFill="1" applyBorder="1" applyAlignment="1">
      <alignment horizontal="center" vertical="center"/>
    </xf>
    <xf numFmtId="43" fontId="5" fillId="0" borderId="1" xfId="1" applyFont="1" applyBorder="1" applyAlignment="1">
      <alignment horizontal="center" vertical="center"/>
    </xf>
    <xf numFmtId="43" fontId="4" fillId="9" borderId="1" xfId="1" applyFont="1" applyFill="1" applyBorder="1" applyAlignment="1">
      <alignment horizontal="center" vertical="center"/>
    </xf>
    <xf numFmtId="0" fontId="63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top"/>
    </xf>
    <xf numFmtId="0" fontId="23" fillId="2" borderId="2" xfId="0" applyFont="1" applyFill="1" applyBorder="1"/>
    <xf numFmtId="0" fontId="4" fillId="3" borderId="13" xfId="0" applyFont="1" applyFill="1" applyBorder="1" applyAlignment="1">
      <alignment horizontal="center" vertical="center"/>
    </xf>
    <xf numFmtId="187" fontId="5" fillId="0" borderId="0" xfId="1" applyNumberFormat="1" applyFont="1" applyFill="1" applyBorder="1" applyAlignment="1">
      <alignment horizontal="center" vertical="center"/>
    </xf>
    <xf numFmtId="187" fontId="5" fillId="0" borderId="0" xfId="1" applyNumberFormat="1" applyFont="1"/>
    <xf numFmtId="187" fontId="5" fillId="0" borderId="7" xfId="0" applyNumberFormat="1" applyFont="1" applyBorder="1" applyAlignment="1">
      <alignment horizontal="center" vertical="center"/>
    </xf>
    <xf numFmtId="187" fontId="34" fillId="0" borderId="7" xfId="1" applyNumberFormat="1" applyFont="1" applyBorder="1" applyAlignment="1">
      <alignment horizontal="center" vertical="center"/>
    </xf>
    <xf numFmtId="0" fontId="34" fillId="0" borderId="7" xfId="0" applyFont="1" applyBorder="1" applyAlignment="1">
      <alignment horizontal="center" vertical="center"/>
    </xf>
    <xf numFmtId="187" fontId="22" fillId="2" borderId="13" xfId="1" applyNumberFormat="1" applyFont="1" applyFill="1" applyBorder="1" applyAlignment="1">
      <alignment horizontal="center" vertical="center"/>
    </xf>
    <xf numFmtId="187" fontId="61" fillId="0" borderId="15" xfId="1" applyNumberFormat="1" applyFont="1" applyBorder="1" applyAlignment="1">
      <alignment horizontal="center" vertical="center"/>
    </xf>
    <xf numFmtId="0" fontId="5" fillId="0" borderId="2" xfId="0" quotePrefix="1" applyFont="1" applyBorder="1" applyAlignment="1">
      <alignment horizontal="left" vertical="center" wrapText="1" indent="3"/>
    </xf>
    <xf numFmtId="187" fontId="22" fillId="0" borderId="20" xfId="1" applyNumberFormat="1" applyFont="1" applyBorder="1" applyAlignment="1">
      <alignment horizontal="center" vertical="center"/>
    </xf>
    <xf numFmtId="187" fontId="5" fillId="0" borderId="20" xfId="1" applyNumberFormat="1" applyFont="1" applyBorder="1" applyAlignment="1">
      <alignment horizontal="center" vertical="center"/>
    </xf>
    <xf numFmtId="43" fontId="5" fillId="0" borderId="20" xfId="1" applyFont="1" applyBorder="1" applyAlignment="1">
      <alignment horizontal="center" vertical="center"/>
    </xf>
    <xf numFmtId="187" fontId="26" fillId="3" borderId="7" xfId="0" applyNumberFormat="1" applyFont="1" applyFill="1" applyBorder="1" applyAlignment="1">
      <alignment horizontal="center" vertical="center"/>
    </xf>
    <xf numFmtId="43" fontId="5" fillId="0" borderId="0" xfId="1" applyFont="1"/>
    <xf numFmtId="187" fontId="4" fillId="0" borderId="11" xfId="2" applyNumberFormat="1" applyFont="1" applyBorder="1" applyAlignment="1">
      <alignment horizontal="center" vertical="center"/>
    </xf>
    <xf numFmtId="187" fontId="4" fillId="0" borderId="0" xfId="0" applyNumberFormat="1" applyFont="1" applyAlignment="1">
      <alignment horizontal="center" vertical="center" wrapText="1"/>
    </xf>
    <xf numFmtId="187" fontId="64" fillId="0" borderId="0" xfId="0" applyNumberFormat="1" applyFont="1"/>
    <xf numFmtId="187" fontId="5" fillId="0" borderId="0" xfId="0" applyNumberFormat="1" applyFont="1" applyAlignment="1">
      <alignment horizontal="right" vertical="center"/>
    </xf>
    <xf numFmtId="187" fontId="4" fillId="2" borderId="3" xfId="0" applyNumberFormat="1" applyFont="1" applyFill="1" applyBorder="1" applyAlignment="1">
      <alignment horizontal="center" vertical="center"/>
    </xf>
    <xf numFmtId="0" fontId="5" fillId="0" borderId="0" xfId="0" quotePrefix="1" applyFont="1" applyAlignment="1">
      <alignment horizontal="left" vertical="center" indent="3"/>
    </xf>
    <xf numFmtId="0" fontId="5" fillId="0" borderId="0" xfId="0" applyFont="1" applyAlignment="1">
      <alignment horizontal="left" vertical="center" indent="3"/>
    </xf>
    <xf numFmtId="0" fontId="4" fillId="8" borderId="1" xfId="0" applyFont="1" applyFill="1" applyBorder="1" applyAlignment="1">
      <alignment horizontal="left" vertical="center"/>
    </xf>
    <xf numFmtId="43" fontId="4" fillId="8" borderId="1" xfId="1" applyFont="1" applyFill="1" applyBorder="1" applyAlignment="1">
      <alignment horizontal="center" vertical="center"/>
    </xf>
    <xf numFmtId="43" fontId="4" fillId="6" borderId="0" xfId="0" applyNumberFormat="1" applyFont="1" applyFill="1" applyAlignment="1">
      <alignment horizontal="center" vertical="center"/>
    </xf>
    <xf numFmtId="43" fontId="46" fillId="0" borderId="0" xfId="0" applyNumberFormat="1" applyFont="1" applyAlignment="1">
      <alignment horizontal="center"/>
    </xf>
    <xf numFmtId="187" fontId="46" fillId="8" borderId="0" xfId="1" applyNumberFormat="1" applyFont="1" applyFill="1"/>
    <xf numFmtId="43" fontId="46" fillId="0" borderId="0" xfId="0" applyNumberFormat="1" applyFont="1"/>
    <xf numFmtId="187" fontId="5" fillId="0" borderId="0" xfId="1" applyNumberFormat="1" applyFont="1" applyAlignment="1">
      <alignment vertical="center"/>
    </xf>
    <xf numFmtId="43" fontId="5" fillId="0" borderId="0" xfId="0" applyNumberFormat="1" applyFont="1"/>
    <xf numFmtId="187" fontId="22" fillId="0" borderId="16" xfId="2" applyNumberFormat="1" applyFont="1" applyBorder="1" applyAlignment="1">
      <alignment horizontal="center" vertical="center"/>
    </xf>
    <xf numFmtId="0" fontId="4" fillId="0" borderId="0" xfId="0" applyFont="1"/>
    <xf numFmtId="187" fontId="5" fillId="0" borderId="0" xfId="0" applyNumberFormat="1" applyFont="1"/>
    <xf numFmtId="187" fontId="4" fillId="0" borderId="0" xfId="0" applyNumberFormat="1" applyFont="1"/>
    <xf numFmtId="187" fontId="4" fillId="0" borderId="0" xfId="0" applyNumberFormat="1" applyFont="1" applyAlignment="1">
      <alignment horizontal="left" vertical="center" indent="4"/>
    </xf>
    <xf numFmtId="187" fontId="5" fillId="0" borderId="20" xfId="2" applyNumberFormat="1" applyFont="1" applyBorder="1" applyAlignment="1">
      <alignment horizontal="center" vertical="center"/>
    </xf>
    <xf numFmtId="0" fontId="22" fillId="3" borderId="2" xfId="0" applyFont="1" applyFill="1" applyBorder="1" applyAlignment="1">
      <alignment vertical="center"/>
    </xf>
    <xf numFmtId="0" fontId="22" fillId="3" borderId="2" xfId="0" applyFont="1" applyFill="1" applyBorder="1" applyAlignment="1">
      <alignment horizontal="center" vertical="center"/>
    </xf>
    <xf numFmtId="187" fontId="22" fillId="3" borderId="20" xfId="0" applyNumberFormat="1" applyFont="1" applyFill="1" applyBorder="1" applyAlignment="1">
      <alignment horizontal="center" vertical="center"/>
    </xf>
    <xf numFmtId="187" fontId="22" fillId="3" borderId="20" xfId="2" applyNumberFormat="1" applyFont="1" applyFill="1" applyBorder="1" applyAlignment="1">
      <alignment horizontal="center" vertical="center"/>
    </xf>
    <xf numFmtId="0" fontId="4" fillId="3" borderId="7" xfId="0" applyFont="1" applyFill="1" applyBorder="1" applyAlignment="1">
      <alignment vertical="center"/>
    </xf>
    <xf numFmtId="0" fontId="4" fillId="3" borderId="15" xfId="0" applyFont="1" applyFill="1" applyBorder="1" applyAlignment="1">
      <alignment horizontal="center" vertical="center"/>
    </xf>
    <xf numFmtId="187" fontId="5" fillId="3" borderId="7" xfId="2" applyNumberFormat="1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vertical="center"/>
    </xf>
    <xf numFmtId="43" fontId="4" fillId="2" borderId="17" xfId="1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left" vertical="center"/>
    </xf>
    <xf numFmtId="43" fontId="4" fillId="2" borderId="23" xfId="1" applyFont="1" applyFill="1" applyBorder="1" applyAlignment="1">
      <alignment horizontal="center" vertical="center"/>
    </xf>
    <xf numFmtId="187" fontId="5" fillId="0" borderId="8" xfId="1" applyNumberFormat="1" applyFont="1" applyBorder="1" applyAlignment="1">
      <alignment horizontal="center" vertical="center"/>
    </xf>
    <xf numFmtId="187" fontId="22" fillId="0" borderId="27" xfId="1" applyNumberFormat="1" applyFont="1" applyBorder="1" applyAlignment="1">
      <alignment horizontal="center" vertical="center"/>
    </xf>
    <xf numFmtId="43" fontId="65" fillId="0" borderId="18" xfId="1" applyFont="1" applyBorder="1"/>
    <xf numFmtId="0" fontId="33" fillId="2" borderId="8" xfId="0" applyFont="1" applyFill="1" applyBorder="1" applyAlignment="1">
      <alignment horizontal="left" vertical="center"/>
    </xf>
    <xf numFmtId="187" fontId="33" fillId="2" borderId="7" xfId="0" applyNumberFormat="1" applyFont="1" applyFill="1" applyBorder="1" applyAlignment="1">
      <alignment horizontal="center" vertical="center"/>
    </xf>
    <xf numFmtId="0" fontId="34" fillId="0" borderId="0" xfId="0" applyFont="1" applyAlignment="1">
      <alignment wrapText="1"/>
    </xf>
    <xf numFmtId="0" fontId="34" fillId="0" borderId="0" xfId="0" applyFont="1" applyAlignment="1">
      <alignment horizontal="center" vertical="center"/>
    </xf>
    <xf numFmtId="187" fontId="26" fillId="0" borderId="0" xfId="0" applyNumberFormat="1" applyFont="1" applyAlignment="1">
      <alignment horizontal="center" vertical="center"/>
    </xf>
    <xf numFmtId="187" fontId="34" fillId="0" borderId="0" xfId="1" applyNumberFormat="1" applyFont="1" applyBorder="1" applyAlignment="1">
      <alignment horizontal="center" vertical="center"/>
    </xf>
    <xf numFmtId="43" fontId="66" fillId="0" borderId="0" xfId="0" applyNumberFormat="1" applyFont="1" applyAlignment="1">
      <alignment horizontal="center" vertical="center"/>
    </xf>
    <xf numFmtId="187" fontId="46" fillId="8" borderId="0" xfId="1" applyNumberFormat="1" applyFont="1" applyFill="1" applyAlignment="1">
      <alignment horizontal="center"/>
    </xf>
    <xf numFmtId="187" fontId="4" fillId="2" borderId="1" xfId="1" applyNumberFormat="1" applyFont="1" applyFill="1" applyBorder="1" applyAlignment="1">
      <alignment horizontal="center" vertical="center"/>
    </xf>
    <xf numFmtId="187" fontId="4" fillId="2" borderId="1" xfId="0" applyNumberFormat="1" applyFont="1" applyFill="1" applyBorder="1" applyAlignment="1">
      <alignment horizontal="center" vertical="center"/>
    </xf>
    <xf numFmtId="187" fontId="4" fillId="0" borderId="8" xfId="2" applyNumberFormat="1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43" fontId="17" fillId="0" borderId="0" xfId="0" applyNumberFormat="1" applyFont="1" applyAlignment="1">
      <alignment horizontal="center" vertical="center"/>
    </xf>
    <xf numFmtId="43" fontId="17" fillId="0" borderId="24" xfId="0" applyNumberFormat="1" applyFont="1" applyBorder="1" applyAlignment="1">
      <alignment horizontal="center" vertical="center"/>
    </xf>
    <xf numFmtId="43" fontId="18" fillId="0" borderId="0" xfId="1" applyFont="1" applyAlignment="1">
      <alignment horizontal="center" vertical="center"/>
    </xf>
    <xf numFmtId="43" fontId="18" fillId="6" borderId="0" xfId="1" applyFont="1" applyFill="1" applyAlignment="1">
      <alignment horizontal="center" vertical="center"/>
    </xf>
    <xf numFmtId="187" fontId="5" fillId="0" borderId="8" xfId="0" applyNumberFormat="1" applyFont="1" applyBorder="1" applyAlignment="1">
      <alignment horizontal="center" vertical="center"/>
    </xf>
    <xf numFmtId="187" fontId="22" fillId="5" borderId="20" xfId="0" applyNumberFormat="1" applyFont="1" applyFill="1" applyBorder="1" applyAlignment="1">
      <alignment horizontal="center" vertical="center"/>
    </xf>
    <xf numFmtId="187" fontId="22" fillId="0" borderId="26" xfId="0" applyNumberFormat="1" applyFont="1" applyBorder="1" applyAlignment="1">
      <alignment horizontal="center" vertical="center"/>
    </xf>
    <xf numFmtId="187" fontId="5" fillId="0" borderId="26" xfId="2" applyNumberFormat="1" applyFont="1" applyBorder="1" applyAlignment="1">
      <alignment horizontal="center" vertical="center"/>
    </xf>
    <xf numFmtId="0" fontId="34" fillId="0" borderId="5" xfId="0" applyFont="1" applyBorder="1" applyAlignment="1">
      <alignment horizontal="center" vertical="center"/>
    </xf>
    <xf numFmtId="187" fontId="26" fillId="0" borderId="4" xfId="0" applyNumberFormat="1" applyFont="1" applyBorder="1" applyAlignment="1">
      <alignment horizontal="center" vertical="center"/>
    </xf>
    <xf numFmtId="187" fontId="26" fillId="0" borderId="2" xfId="1" applyNumberFormat="1" applyFont="1" applyFill="1" applyBorder="1" applyAlignment="1">
      <alignment horizontal="right"/>
    </xf>
    <xf numFmtId="43" fontId="23" fillId="0" borderId="15" xfId="1" applyFont="1" applyBorder="1"/>
    <xf numFmtId="43" fontId="23" fillId="0" borderId="7" xfId="1" applyFont="1" applyBorder="1"/>
    <xf numFmtId="0" fontId="34" fillId="0" borderId="2" xfId="0" applyFont="1" applyBorder="1"/>
    <xf numFmtId="187" fontId="34" fillId="0" borderId="20" xfId="1" applyNumberFormat="1" applyFont="1" applyBorder="1" applyAlignment="1">
      <alignment horizontal="center" vertical="center"/>
    </xf>
    <xf numFmtId="0" fontId="5" fillId="0" borderId="2" xfId="0" quotePrefix="1" applyFont="1" applyBorder="1" applyAlignment="1">
      <alignment horizontal="left" vertical="center" indent="3"/>
    </xf>
    <xf numFmtId="0" fontId="15" fillId="0" borderId="8" xfId="0" quotePrefix="1" applyFont="1" applyBorder="1" applyAlignment="1">
      <alignment horizontal="left" vertical="center" indent="3"/>
    </xf>
    <xf numFmtId="0" fontId="15" fillId="0" borderId="18" xfId="0" applyFont="1" applyBorder="1" applyAlignment="1">
      <alignment horizontal="center" vertical="center"/>
    </xf>
    <xf numFmtId="187" fontId="16" fillId="0" borderId="18" xfId="0" applyNumberFormat="1" applyFont="1" applyBorder="1" applyAlignment="1">
      <alignment horizontal="center" vertical="center"/>
    </xf>
    <xf numFmtId="187" fontId="15" fillId="0" borderId="16" xfId="1" applyNumberFormat="1" applyFont="1" applyBorder="1" applyAlignment="1">
      <alignment horizontal="center" vertical="center"/>
    </xf>
    <xf numFmtId="187" fontId="15" fillId="0" borderId="0" xfId="2" applyNumberFormat="1" applyFont="1" applyBorder="1" applyAlignment="1">
      <alignment horizontal="center" vertical="center"/>
    </xf>
    <xf numFmtId="187" fontId="15" fillId="0" borderId="0" xfId="1" applyNumberFormat="1" applyFont="1"/>
    <xf numFmtId="43" fontId="15" fillId="0" borderId="0" xfId="0" applyNumberFormat="1" applyFont="1"/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22" fillId="0" borderId="7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5" fillId="0" borderId="3" xfId="0" applyFont="1" applyBorder="1" applyAlignment="1">
      <alignment horizontal="left"/>
    </xf>
    <xf numFmtId="0" fontId="5" fillId="0" borderId="10" xfId="0" applyFont="1" applyBorder="1" applyAlignment="1">
      <alignment horizontal="left"/>
    </xf>
    <xf numFmtId="0" fontId="5" fillId="0" borderId="6" xfId="0" applyFont="1" applyBorder="1" applyAlignment="1">
      <alignment horizontal="left"/>
    </xf>
    <xf numFmtId="0" fontId="5" fillId="0" borderId="11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5" fillId="0" borderId="12" xfId="0" applyFont="1" applyBorder="1" applyAlignment="1">
      <alignment horizontal="left"/>
    </xf>
    <xf numFmtId="0" fontId="5" fillId="0" borderId="11" xfId="0" applyFont="1" applyBorder="1" applyAlignment="1">
      <alignment horizontal="left" indent="7"/>
    </xf>
    <xf numFmtId="0" fontId="5" fillId="0" borderId="0" xfId="0" applyFont="1" applyAlignment="1">
      <alignment horizontal="left" indent="7"/>
    </xf>
    <xf numFmtId="0" fontId="5" fillId="0" borderId="12" xfId="0" applyFont="1" applyBorder="1" applyAlignment="1">
      <alignment horizontal="left" indent="7"/>
    </xf>
    <xf numFmtId="0" fontId="5" fillId="0" borderId="4" xfId="0" applyFont="1" applyBorder="1" applyAlignment="1">
      <alignment horizontal="left"/>
    </xf>
    <xf numFmtId="0" fontId="5" fillId="0" borderId="9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4" fillId="0" borderId="0" xfId="0" applyFont="1" applyAlignment="1">
      <alignment horizontal="center"/>
    </xf>
    <xf numFmtId="0" fontId="5" fillId="0" borderId="11" xfId="0" applyFont="1" applyBorder="1" applyAlignment="1">
      <alignment horizontal="left" indent="6"/>
    </xf>
    <xf numFmtId="0" fontId="5" fillId="0" borderId="0" xfId="0" applyFont="1" applyAlignment="1">
      <alignment horizontal="left" indent="6"/>
    </xf>
    <xf numFmtId="0" fontId="5" fillId="0" borderId="12" xfId="0" applyFont="1" applyBorder="1" applyAlignment="1">
      <alignment horizontal="left" indent="6"/>
    </xf>
    <xf numFmtId="0" fontId="5" fillId="0" borderId="3" xfId="0" applyFont="1" applyBorder="1" applyAlignment="1">
      <alignment vertical="top" wrapText="1"/>
    </xf>
    <xf numFmtId="0" fontId="5" fillId="0" borderId="10" xfId="0" applyFont="1" applyBorder="1" applyAlignment="1">
      <alignment vertical="top" wrapText="1"/>
    </xf>
    <xf numFmtId="0" fontId="5" fillId="0" borderId="6" xfId="0" applyFont="1" applyBorder="1" applyAlignment="1">
      <alignment vertical="top" wrapText="1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187" fontId="2" fillId="0" borderId="1" xfId="1" applyNumberFormat="1" applyFont="1" applyBorder="1" applyAlignment="1">
      <alignment horizontal="center" vertical="center" wrapText="1"/>
    </xf>
    <xf numFmtId="187" fontId="2" fillId="0" borderId="1" xfId="1" applyNumberFormat="1" applyFont="1" applyBorder="1" applyAlignment="1">
      <alignment horizontal="center" vertical="center"/>
    </xf>
    <xf numFmtId="187" fontId="9" fillId="0" borderId="2" xfId="1" applyNumberFormat="1" applyFont="1" applyBorder="1" applyAlignment="1">
      <alignment horizontal="center" vertical="center"/>
    </xf>
    <xf numFmtId="187" fontId="9" fillId="0" borderId="7" xfId="1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24" fillId="3" borderId="2" xfId="0" applyFont="1" applyFill="1" applyBorder="1" applyAlignment="1">
      <alignment horizontal="center" vertical="center"/>
    </xf>
    <xf numFmtId="0" fontId="24" fillId="3" borderId="7" xfId="0" applyFont="1" applyFill="1" applyBorder="1" applyAlignment="1">
      <alignment horizontal="center" vertical="center"/>
    </xf>
    <xf numFmtId="0" fontId="24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0" fontId="24" fillId="0" borderId="7" xfId="0" applyFont="1" applyBorder="1" applyAlignment="1">
      <alignment horizontal="center" vertical="center"/>
    </xf>
  </cellXfs>
  <cellStyles count="4">
    <cellStyle name="Comma 2" xfId="2" xr:uid="{EB441FE1-05CA-4BC9-A31A-5BFB80F523B8}"/>
    <cellStyle name="Comma 3" xfId="3" xr:uid="{E2BF20FF-1828-411C-B8DC-B8E3DE9F7EAD}"/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952500</xdr:colOff>
      <xdr:row>0</xdr:row>
      <xdr:rowOff>152400</xdr:rowOff>
    </xdr:from>
    <xdr:to>
      <xdr:col>14</xdr:col>
      <xdr:colOff>771525</xdr:colOff>
      <xdr:row>1</xdr:row>
      <xdr:rowOff>247650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231769DB-226C-4E7C-8461-E75194A92FA4}"/>
            </a:ext>
          </a:extLst>
        </xdr:cNvPr>
        <xdr:cNvSpPr/>
      </xdr:nvSpPr>
      <xdr:spPr>
        <a:xfrm>
          <a:off x="13696950" y="152400"/>
          <a:ext cx="1743075" cy="409575"/>
        </a:xfrm>
        <a:prstGeom prst="rect">
          <a:avLst/>
        </a:prstGeom>
        <a:solidFill>
          <a:sysClr val="window" lastClr="FFFF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th-TH" sz="1400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แบบ สงม. </a:t>
          </a:r>
          <a:r>
            <a:rPr lang="en-US" sz="1400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lang="th-TH" sz="1400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(สำนักงานเขต)</a:t>
          </a:r>
          <a:endParaRPr lang="th-TH" sz="1400">
            <a:solidFill>
              <a:sysClr val="windowText" lastClr="00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828675</xdr:colOff>
      <xdr:row>0</xdr:row>
      <xdr:rowOff>0</xdr:rowOff>
    </xdr:from>
    <xdr:to>
      <xdr:col>5</xdr:col>
      <xdr:colOff>1638298</xdr:colOff>
      <xdr:row>0</xdr:row>
      <xdr:rowOff>295274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B2ADA06C-8965-4DFC-9822-D9C937896DB3}"/>
            </a:ext>
          </a:extLst>
        </xdr:cNvPr>
        <xdr:cNvSpPr/>
      </xdr:nvSpPr>
      <xdr:spPr>
        <a:xfrm>
          <a:off x="12382500" y="0"/>
          <a:ext cx="809623" cy="295274"/>
        </a:xfrm>
        <a:prstGeom prst="rect">
          <a:avLst/>
        </a:prstGeom>
        <a:solidFill>
          <a:sysClr val="window" lastClr="FFFF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th-TH" sz="1400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แบบ สงม. 2        </a:t>
          </a:r>
          <a:endParaRPr lang="th-TH" sz="1400">
            <a:solidFill>
              <a:sysClr val="windowText" lastClr="00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876300</xdr:colOff>
      <xdr:row>0</xdr:row>
      <xdr:rowOff>0</xdr:rowOff>
    </xdr:from>
    <xdr:to>
      <xdr:col>5</xdr:col>
      <xdr:colOff>1685923</xdr:colOff>
      <xdr:row>1</xdr:row>
      <xdr:rowOff>9524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1BBCDCA3-55D6-416F-8F7D-0D25C94EA217}"/>
            </a:ext>
          </a:extLst>
        </xdr:cNvPr>
        <xdr:cNvSpPr/>
      </xdr:nvSpPr>
      <xdr:spPr>
        <a:xfrm>
          <a:off x="12430125" y="0"/>
          <a:ext cx="809623" cy="295274"/>
        </a:xfrm>
        <a:prstGeom prst="rect">
          <a:avLst/>
        </a:prstGeom>
        <a:solidFill>
          <a:sysClr val="window" lastClr="FFFF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th-TH" sz="1400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แบบ สงม. 2        </a:t>
          </a:r>
          <a:endParaRPr lang="th-TH" sz="1400">
            <a:solidFill>
              <a:sysClr val="windowText" lastClr="00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914400</xdr:colOff>
      <xdr:row>0</xdr:row>
      <xdr:rowOff>19050</xdr:rowOff>
    </xdr:from>
    <xdr:to>
      <xdr:col>5</xdr:col>
      <xdr:colOff>1724023</xdr:colOff>
      <xdr:row>1</xdr:row>
      <xdr:rowOff>9524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164E79C2-7A36-4576-8247-32A3365AB082}"/>
            </a:ext>
          </a:extLst>
        </xdr:cNvPr>
        <xdr:cNvSpPr/>
      </xdr:nvSpPr>
      <xdr:spPr>
        <a:xfrm>
          <a:off x="12468225" y="19050"/>
          <a:ext cx="809623" cy="295274"/>
        </a:xfrm>
        <a:prstGeom prst="rect">
          <a:avLst/>
        </a:prstGeom>
        <a:solidFill>
          <a:sysClr val="window" lastClr="FFFF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th-TH" sz="1400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แบบ สงม. 2        </a:t>
          </a:r>
          <a:endParaRPr lang="th-TH" sz="1400">
            <a:solidFill>
              <a:sysClr val="windowText" lastClr="00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866775</xdr:colOff>
      <xdr:row>0</xdr:row>
      <xdr:rowOff>0</xdr:rowOff>
    </xdr:from>
    <xdr:to>
      <xdr:col>5</xdr:col>
      <xdr:colOff>1676398</xdr:colOff>
      <xdr:row>0</xdr:row>
      <xdr:rowOff>295274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E52254D4-B975-41DD-B2B9-6FF59C0DF6FA}"/>
            </a:ext>
          </a:extLst>
        </xdr:cNvPr>
        <xdr:cNvSpPr/>
      </xdr:nvSpPr>
      <xdr:spPr>
        <a:xfrm>
          <a:off x="12420600" y="0"/>
          <a:ext cx="809623" cy="295274"/>
        </a:xfrm>
        <a:prstGeom prst="rect">
          <a:avLst/>
        </a:prstGeom>
        <a:solidFill>
          <a:sysClr val="window" lastClr="FFFF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th-TH" sz="1400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แบบ สงม. 2        </a:t>
          </a:r>
          <a:endParaRPr lang="th-TH" sz="1400">
            <a:solidFill>
              <a:sysClr val="windowText" lastClr="00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895350</xdr:colOff>
      <xdr:row>0</xdr:row>
      <xdr:rowOff>0</xdr:rowOff>
    </xdr:from>
    <xdr:to>
      <xdr:col>5</xdr:col>
      <xdr:colOff>1704973</xdr:colOff>
      <xdr:row>0</xdr:row>
      <xdr:rowOff>295274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C891BD80-B766-4D59-9331-0451491B991E}"/>
            </a:ext>
          </a:extLst>
        </xdr:cNvPr>
        <xdr:cNvSpPr/>
      </xdr:nvSpPr>
      <xdr:spPr>
        <a:xfrm>
          <a:off x="12449175" y="0"/>
          <a:ext cx="809623" cy="295274"/>
        </a:xfrm>
        <a:prstGeom prst="rect">
          <a:avLst/>
        </a:prstGeom>
        <a:solidFill>
          <a:sysClr val="window" lastClr="FFFF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th-TH" sz="1400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แบบ สงม. 2       </a:t>
          </a:r>
          <a:endParaRPr lang="th-TH" sz="1400">
            <a:solidFill>
              <a:sysClr val="windowText" lastClr="00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762000</xdr:colOff>
      <xdr:row>0</xdr:row>
      <xdr:rowOff>19050</xdr:rowOff>
    </xdr:from>
    <xdr:to>
      <xdr:col>5</xdr:col>
      <xdr:colOff>1685925</xdr:colOff>
      <xdr:row>1</xdr:row>
      <xdr:rowOff>57150</xdr:rowOff>
    </xdr:to>
    <xdr:sp macro="" textlink="">
      <xdr:nvSpPr>
        <xdr:cNvPr id="3" name="Rectangle 1">
          <a:extLst>
            <a:ext uri="{FF2B5EF4-FFF2-40B4-BE49-F238E27FC236}">
              <a16:creationId xmlns:a16="http://schemas.microsoft.com/office/drawing/2014/main" id="{3A361920-0279-4FE1-B239-F31F14D478ED}"/>
            </a:ext>
          </a:extLst>
        </xdr:cNvPr>
        <xdr:cNvSpPr/>
      </xdr:nvSpPr>
      <xdr:spPr>
        <a:xfrm>
          <a:off x="12468225" y="19050"/>
          <a:ext cx="923925" cy="352425"/>
        </a:xfrm>
        <a:prstGeom prst="rect">
          <a:avLst/>
        </a:prstGeom>
        <a:solidFill>
          <a:sysClr val="window" lastClr="FFFF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th-TH" sz="1500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แบบ สงม. 2         </a:t>
          </a:r>
          <a:endParaRPr lang="th-TH" sz="1500">
            <a:solidFill>
              <a:sysClr val="windowText" lastClr="00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828675</xdr:colOff>
      <xdr:row>0</xdr:row>
      <xdr:rowOff>0</xdr:rowOff>
    </xdr:from>
    <xdr:to>
      <xdr:col>5</xdr:col>
      <xdr:colOff>1638298</xdr:colOff>
      <xdr:row>1</xdr:row>
      <xdr:rowOff>19049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57BCEA17-EE1D-44FD-8BEE-BB962FC0F00E}"/>
            </a:ext>
          </a:extLst>
        </xdr:cNvPr>
        <xdr:cNvSpPr/>
      </xdr:nvSpPr>
      <xdr:spPr>
        <a:xfrm>
          <a:off x="12382500" y="0"/>
          <a:ext cx="809623" cy="295274"/>
        </a:xfrm>
        <a:prstGeom prst="rect">
          <a:avLst/>
        </a:prstGeom>
        <a:solidFill>
          <a:sysClr val="window" lastClr="FFFF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th-TH" sz="1400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แบบ สงม. 2        </a:t>
          </a:r>
          <a:endParaRPr lang="th-TH" sz="1400">
            <a:solidFill>
              <a:sysClr val="windowText" lastClr="00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1833554</xdr:colOff>
      <xdr:row>0</xdr:row>
      <xdr:rowOff>0</xdr:rowOff>
    </xdr:from>
    <xdr:to>
      <xdr:col>3</xdr:col>
      <xdr:colOff>2738435</xdr:colOff>
      <xdr:row>1</xdr:row>
      <xdr:rowOff>11906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BCB68AE2-75A9-4211-9AA8-CBFD01A9DD9A}"/>
            </a:ext>
          </a:extLst>
        </xdr:cNvPr>
        <xdr:cNvSpPr txBox="1"/>
      </xdr:nvSpPr>
      <xdr:spPr>
        <a:xfrm>
          <a:off x="2747954" y="0"/>
          <a:ext cx="6" cy="192881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aseline="0">
              <a:latin typeface="TH SarabunPSK" pitchFamily="34" charset="-34"/>
              <a:cs typeface="TH SarabunPSK" pitchFamily="34" charset="-34"/>
            </a:rPr>
            <a:t>แบบ สงม. 2</a:t>
          </a:r>
        </a:p>
      </xdr:txBody>
    </xdr:sp>
    <xdr:clientData/>
  </xdr:twoCellAnchor>
  <xdr:twoCellAnchor>
    <xdr:from>
      <xdr:col>3</xdr:col>
      <xdr:colOff>1833554</xdr:colOff>
      <xdr:row>55</xdr:row>
      <xdr:rowOff>0</xdr:rowOff>
    </xdr:from>
    <xdr:to>
      <xdr:col>3</xdr:col>
      <xdr:colOff>2738435</xdr:colOff>
      <xdr:row>56</xdr:row>
      <xdr:rowOff>11906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A001E269-1F09-4B1A-981B-9AD81ED6C0A8}"/>
            </a:ext>
          </a:extLst>
        </xdr:cNvPr>
        <xdr:cNvSpPr txBox="1"/>
      </xdr:nvSpPr>
      <xdr:spPr>
        <a:xfrm>
          <a:off x="8177204" y="0"/>
          <a:ext cx="6" cy="307181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aseline="0">
              <a:latin typeface="TH SarabunPSK" pitchFamily="34" charset="-34"/>
              <a:cs typeface="TH SarabunPSK" pitchFamily="34" charset="-34"/>
            </a:rPr>
            <a:t>แบบ สงม. 2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933450</xdr:colOff>
      <xdr:row>0</xdr:row>
      <xdr:rowOff>66675</xdr:rowOff>
    </xdr:from>
    <xdr:to>
      <xdr:col>6</xdr:col>
      <xdr:colOff>85725</xdr:colOff>
      <xdr:row>1</xdr:row>
      <xdr:rowOff>161925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C512624C-1B8B-4774-BC04-5FB5C79C3847}"/>
            </a:ext>
          </a:extLst>
        </xdr:cNvPr>
        <xdr:cNvSpPr/>
      </xdr:nvSpPr>
      <xdr:spPr>
        <a:xfrm>
          <a:off x="6353175" y="66675"/>
          <a:ext cx="1495425" cy="409575"/>
        </a:xfrm>
        <a:prstGeom prst="rect">
          <a:avLst/>
        </a:prstGeom>
        <a:solidFill>
          <a:sysClr val="window" lastClr="FFFF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th-TH" sz="1400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แบบ สงม. </a:t>
          </a:r>
          <a:r>
            <a:rPr lang="en-US" sz="1400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lang="th-TH" sz="1400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(สำนักงานเขต)</a:t>
          </a:r>
          <a:endParaRPr lang="th-TH" sz="1400">
            <a:solidFill>
              <a:sysClr val="windowText" lastClr="00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419100</xdr:colOff>
      <xdr:row>0</xdr:row>
      <xdr:rowOff>19051</xdr:rowOff>
    </xdr:from>
    <xdr:to>
      <xdr:col>5</xdr:col>
      <xdr:colOff>0</xdr:colOff>
      <xdr:row>1</xdr:row>
      <xdr:rowOff>9525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35F511E5-F039-4A31-80F7-4C4FCDEFFBC5}"/>
            </a:ext>
          </a:extLst>
        </xdr:cNvPr>
        <xdr:cNvSpPr/>
      </xdr:nvSpPr>
      <xdr:spPr>
        <a:xfrm>
          <a:off x="7781925" y="19051"/>
          <a:ext cx="923925" cy="295274"/>
        </a:xfrm>
        <a:prstGeom prst="rect">
          <a:avLst/>
        </a:prstGeom>
        <a:solidFill>
          <a:sysClr val="window" lastClr="FFFF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th-TH" sz="1400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แบบ สงม. </a:t>
          </a:r>
          <a:r>
            <a:rPr lang="en-US" sz="1400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lang="th-TH" sz="1400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     </a:t>
          </a:r>
          <a:endParaRPr lang="th-TH" sz="1400">
            <a:solidFill>
              <a:sysClr val="windowText" lastClr="00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1457326</xdr:colOff>
      <xdr:row>0</xdr:row>
      <xdr:rowOff>57150</xdr:rowOff>
    </xdr:from>
    <xdr:to>
      <xdr:col>4</xdr:col>
      <xdr:colOff>1495426</xdr:colOff>
      <xdr:row>1</xdr:row>
      <xdr:rowOff>85725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6A4B4065-421B-4BE5-9C0C-F2A2788E9135}"/>
            </a:ext>
          </a:extLst>
        </xdr:cNvPr>
        <xdr:cNvSpPr/>
      </xdr:nvSpPr>
      <xdr:spPr>
        <a:xfrm>
          <a:off x="8010526" y="57150"/>
          <a:ext cx="1543050" cy="333375"/>
        </a:xfrm>
        <a:prstGeom prst="rect">
          <a:avLst/>
        </a:prstGeom>
        <a:solidFill>
          <a:sysClr val="window" lastClr="FFFF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th-TH" sz="1400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แบบ สงม. </a:t>
          </a:r>
          <a:r>
            <a:rPr lang="en-US" sz="1400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lang="th-TH" sz="1400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(สำนักงานเขต)</a:t>
          </a:r>
          <a:endParaRPr lang="th-TH" sz="1400">
            <a:solidFill>
              <a:sysClr val="windowText" lastClr="00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3</xdr:col>
      <xdr:colOff>1466850</xdr:colOff>
      <xdr:row>44</xdr:row>
      <xdr:rowOff>19050</xdr:rowOff>
    </xdr:from>
    <xdr:to>
      <xdr:col>6</xdr:col>
      <xdr:colOff>133349</xdr:colOff>
      <xdr:row>45</xdr:row>
      <xdr:rowOff>47625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66DF1EBB-D145-4CFF-A04A-FF512301079C}"/>
            </a:ext>
          </a:extLst>
        </xdr:cNvPr>
        <xdr:cNvSpPr/>
      </xdr:nvSpPr>
      <xdr:spPr>
        <a:xfrm>
          <a:off x="8020050" y="6543675"/>
          <a:ext cx="1771649" cy="333375"/>
        </a:xfrm>
        <a:prstGeom prst="rect">
          <a:avLst/>
        </a:prstGeom>
        <a:solidFill>
          <a:sysClr val="window" lastClr="FFFF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th-TH" sz="1400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แบบ สงม. </a:t>
          </a:r>
          <a:r>
            <a:rPr lang="en-US" sz="1400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lang="th-TH" sz="1400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(สำนักงานเขต)</a:t>
          </a:r>
          <a:endParaRPr lang="th-TH" sz="1400">
            <a:solidFill>
              <a:sysClr val="windowText" lastClr="00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4</xdr:col>
      <xdr:colOff>0</xdr:colOff>
      <xdr:row>66</xdr:row>
      <xdr:rowOff>9525</xdr:rowOff>
    </xdr:from>
    <xdr:to>
      <xdr:col>6</xdr:col>
      <xdr:colOff>171449</xdr:colOff>
      <xdr:row>67</xdr:row>
      <xdr:rowOff>38100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4339191-37C6-4056-87CA-595121E88F73}"/>
            </a:ext>
          </a:extLst>
        </xdr:cNvPr>
        <xdr:cNvSpPr/>
      </xdr:nvSpPr>
      <xdr:spPr>
        <a:xfrm>
          <a:off x="8058150" y="13058775"/>
          <a:ext cx="1771649" cy="333375"/>
        </a:xfrm>
        <a:prstGeom prst="rect">
          <a:avLst/>
        </a:prstGeom>
        <a:solidFill>
          <a:sysClr val="window" lastClr="FFFF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th-TH" sz="1400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แบบ สงม. </a:t>
          </a:r>
          <a:r>
            <a:rPr lang="en-US" sz="1400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lang="th-TH" sz="1400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(สำนักงานเขต)</a:t>
          </a:r>
          <a:endParaRPr lang="th-TH" sz="1400">
            <a:solidFill>
              <a:sysClr val="windowText" lastClr="00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3</xdr:col>
      <xdr:colOff>1409700</xdr:colOff>
      <xdr:row>88</xdr:row>
      <xdr:rowOff>9525</xdr:rowOff>
    </xdr:from>
    <xdr:to>
      <xdr:col>6</xdr:col>
      <xdr:colOff>76199</xdr:colOff>
      <xdr:row>89</xdr:row>
      <xdr:rowOff>38100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B5BD4235-F58B-4585-A6CC-DF1862332CEF}"/>
            </a:ext>
          </a:extLst>
        </xdr:cNvPr>
        <xdr:cNvSpPr/>
      </xdr:nvSpPr>
      <xdr:spPr>
        <a:xfrm>
          <a:off x="7962900" y="19583400"/>
          <a:ext cx="1771649" cy="333375"/>
        </a:xfrm>
        <a:prstGeom prst="rect">
          <a:avLst/>
        </a:prstGeom>
        <a:solidFill>
          <a:sysClr val="window" lastClr="FFFF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th-TH" sz="1400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แบบ สงม. </a:t>
          </a:r>
          <a:r>
            <a:rPr lang="en-US" sz="1400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lang="th-TH" sz="1400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(สำนักงานเขต)</a:t>
          </a:r>
          <a:endParaRPr lang="th-TH" sz="1400">
            <a:solidFill>
              <a:sysClr val="windowText" lastClr="00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3</xdr:col>
      <xdr:colOff>1457325</xdr:colOff>
      <xdr:row>110</xdr:row>
      <xdr:rowOff>19050</xdr:rowOff>
    </xdr:from>
    <xdr:to>
      <xdr:col>6</xdr:col>
      <xdr:colOff>123824</xdr:colOff>
      <xdr:row>111</xdr:row>
      <xdr:rowOff>47625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FE5EBB0D-066E-439C-A245-158F8B130D59}"/>
            </a:ext>
          </a:extLst>
        </xdr:cNvPr>
        <xdr:cNvSpPr/>
      </xdr:nvSpPr>
      <xdr:spPr>
        <a:xfrm>
          <a:off x="8010525" y="26117550"/>
          <a:ext cx="1771649" cy="333375"/>
        </a:xfrm>
        <a:prstGeom prst="rect">
          <a:avLst/>
        </a:prstGeom>
        <a:solidFill>
          <a:sysClr val="window" lastClr="FFFF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th-TH" sz="1400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แบบ สงม. </a:t>
          </a:r>
          <a:r>
            <a:rPr lang="en-US" sz="1400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lang="th-TH" sz="1400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(สำนักงานเขต)</a:t>
          </a:r>
          <a:endParaRPr lang="th-TH" sz="1400">
            <a:solidFill>
              <a:sysClr val="windowText" lastClr="00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3</xdr:col>
      <xdr:colOff>1438275</xdr:colOff>
      <xdr:row>137</xdr:row>
      <xdr:rowOff>47625</xdr:rowOff>
    </xdr:from>
    <xdr:to>
      <xdr:col>6</xdr:col>
      <xdr:colOff>104774</xdr:colOff>
      <xdr:row>138</xdr:row>
      <xdr:rowOff>76200</xdr:rowOff>
    </xdr:to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C47F715E-9580-43B2-BC9E-0577ABCE9BD9}"/>
            </a:ext>
          </a:extLst>
        </xdr:cNvPr>
        <xdr:cNvSpPr/>
      </xdr:nvSpPr>
      <xdr:spPr>
        <a:xfrm>
          <a:off x="7991475" y="32642175"/>
          <a:ext cx="1771649" cy="333375"/>
        </a:xfrm>
        <a:prstGeom prst="rect">
          <a:avLst/>
        </a:prstGeom>
        <a:solidFill>
          <a:sysClr val="window" lastClr="FFFF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th-TH" sz="1400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แบบ สงม. </a:t>
          </a:r>
          <a:r>
            <a:rPr lang="en-US" sz="1400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lang="th-TH" sz="1400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(สำนักงานเขต)</a:t>
          </a:r>
          <a:endParaRPr lang="th-TH" sz="1400">
            <a:solidFill>
              <a:sysClr val="windowText" lastClr="00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3</xdr:col>
      <xdr:colOff>1466850</xdr:colOff>
      <xdr:row>163</xdr:row>
      <xdr:rowOff>38100</xdr:rowOff>
    </xdr:from>
    <xdr:to>
      <xdr:col>6</xdr:col>
      <xdr:colOff>133349</xdr:colOff>
      <xdr:row>164</xdr:row>
      <xdr:rowOff>66675</xdr:rowOff>
    </xdr:to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520E4F99-6EA7-4873-B745-0BB9E3F4CBB1}"/>
            </a:ext>
          </a:extLst>
        </xdr:cNvPr>
        <xdr:cNvSpPr/>
      </xdr:nvSpPr>
      <xdr:spPr>
        <a:xfrm>
          <a:off x="8020050" y="39366825"/>
          <a:ext cx="1771649" cy="333375"/>
        </a:xfrm>
        <a:prstGeom prst="rect">
          <a:avLst/>
        </a:prstGeom>
        <a:solidFill>
          <a:sysClr val="window" lastClr="FFFF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th-TH" sz="1400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แบบ สงม. </a:t>
          </a:r>
          <a:r>
            <a:rPr lang="en-US" sz="1400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lang="th-TH" sz="1400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(สำนักงานเขต)</a:t>
          </a:r>
          <a:endParaRPr lang="th-TH" sz="1400">
            <a:solidFill>
              <a:sysClr val="windowText" lastClr="00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3</xdr:col>
      <xdr:colOff>1419225</xdr:colOff>
      <xdr:row>186</xdr:row>
      <xdr:rowOff>28575</xdr:rowOff>
    </xdr:from>
    <xdr:to>
      <xdr:col>6</xdr:col>
      <xdr:colOff>85724</xdr:colOff>
      <xdr:row>187</xdr:row>
      <xdr:rowOff>57150</xdr:rowOff>
    </xdr:to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id="{8FAC07C6-5AC7-4C4E-A79E-966A0F1D5232}"/>
            </a:ext>
          </a:extLst>
        </xdr:cNvPr>
        <xdr:cNvSpPr/>
      </xdr:nvSpPr>
      <xdr:spPr>
        <a:xfrm>
          <a:off x="7972425" y="46091475"/>
          <a:ext cx="1771649" cy="333375"/>
        </a:xfrm>
        <a:prstGeom prst="rect">
          <a:avLst/>
        </a:prstGeom>
        <a:solidFill>
          <a:sysClr val="window" lastClr="FFFF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th-TH" sz="1400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แบบ สงม. </a:t>
          </a:r>
          <a:r>
            <a:rPr lang="en-US" sz="1400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lang="th-TH" sz="1400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(สำนักงานเขต)</a:t>
          </a:r>
          <a:endParaRPr lang="th-TH" sz="1400">
            <a:solidFill>
              <a:sysClr val="windowText" lastClr="00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3</xdr:col>
      <xdr:colOff>1438275</xdr:colOff>
      <xdr:row>209</xdr:row>
      <xdr:rowOff>28575</xdr:rowOff>
    </xdr:from>
    <xdr:to>
      <xdr:col>6</xdr:col>
      <xdr:colOff>104774</xdr:colOff>
      <xdr:row>210</xdr:row>
      <xdr:rowOff>57150</xdr:rowOff>
    </xdr:to>
    <xdr:sp macro="" textlink="">
      <xdr:nvSpPr>
        <xdr:cNvPr id="12" name="Rectangle 11">
          <a:extLst>
            <a:ext uri="{FF2B5EF4-FFF2-40B4-BE49-F238E27FC236}">
              <a16:creationId xmlns:a16="http://schemas.microsoft.com/office/drawing/2014/main" id="{7B2DDFD9-37D2-4D48-839C-0F0E49866051}"/>
            </a:ext>
          </a:extLst>
        </xdr:cNvPr>
        <xdr:cNvSpPr/>
      </xdr:nvSpPr>
      <xdr:spPr>
        <a:xfrm>
          <a:off x="7991475" y="52825650"/>
          <a:ext cx="1771649" cy="333375"/>
        </a:xfrm>
        <a:prstGeom prst="rect">
          <a:avLst/>
        </a:prstGeom>
        <a:solidFill>
          <a:sysClr val="window" lastClr="FFFF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th-TH" sz="1400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แบบ สงม. </a:t>
          </a:r>
          <a:r>
            <a:rPr lang="en-US" sz="1400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lang="th-TH" sz="1400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(สำนักงานเขต)</a:t>
          </a:r>
          <a:endParaRPr lang="th-TH" sz="1400">
            <a:solidFill>
              <a:sysClr val="windowText" lastClr="00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3</xdr:col>
      <xdr:colOff>1466850</xdr:colOff>
      <xdr:row>234</xdr:row>
      <xdr:rowOff>28575</xdr:rowOff>
    </xdr:from>
    <xdr:to>
      <xdr:col>6</xdr:col>
      <xdr:colOff>133349</xdr:colOff>
      <xdr:row>235</xdr:row>
      <xdr:rowOff>57150</xdr:rowOff>
    </xdr:to>
    <xdr:sp macro="" textlink="">
      <xdr:nvSpPr>
        <xdr:cNvPr id="13" name="Rectangle 12">
          <a:extLst>
            <a:ext uri="{FF2B5EF4-FFF2-40B4-BE49-F238E27FC236}">
              <a16:creationId xmlns:a16="http://schemas.microsoft.com/office/drawing/2014/main" id="{BE47EC40-4FAA-460D-A544-483CB053EECA}"/>
            </a:ext>
          </a:extLst>
        </xdr:cNvPr>
        <xdr:cNvSpPr/>
      </xdr:nvSpPr>
      <xdr:spPr>
        <a:xfrm>
          <a:off x="8020050" y="59559825"/>
          <a:ext cx="1771649" cy="333375"/>
        </a:xfrm>
        <a:prstGeom prst="rect">
          <a:avLst/>
        </a:prstGeom>
        <a:solidFill>
          <a:sysClr val="window" lastClr="FFFF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th-TH" sz="1400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แบบ สงม. </a:t>
          </a:r>
          <a:r>
            <a:rPr lang="en-US" sz="1400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lang="th-TH" sz="1400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(สำนักงานเขต)</a:t>
          </a:r>
          <a:endParaRPr lang="th-TH" sz="1400">
            <a:solidFill>
              <a:sysClr val="windowText" lastClr="00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3</xdr:col>
      <xdr:colOff>1457326</xdr:colOff>
      <xdr:row>44</xdr:row>
      <xdr:rowOff>57150</xdr:rowOff>
    </xdr:from>
    <xdr:to>
      <xdr:col>4</xdr:col>
      <xdr:colOff>1495426</xdr:colOff>
      <xdr:row>45</xdr:row>
      <xdr:rowOff>85725</xdr:rowOff>
    </xdr:to>
    <xdr:sp macro="" textlink="">
      <xdr:nvSpPr>
        <xdr:cNvPr id="5" name="Rectangle 1">
          <a:extLst>
            <a:ext uri="{FF2B5EF4-FFF2-40B4-BE49-F238E27FC236}">
              <a16:creationId xmlns:a16="http://schemas.microsoft.com/office/drawing/2014/main" id="{68107ADC-EED8-4D19-8E37-87FDFD102908}"/>
            </a:ext>
          </a:extLst>
        </xdr:cNvPr>
        <xdr:cNvSpPr/>
      </xdr:nvSpPr>
      <xdr:spPr>
        <a:xfrm>
          <a:off x="8010526" y="57150"/>
          <a:ext cx="1543050" cy="333375"/>
        </a:xfrm>
        <a:prstGeom prst="rect">
          <a:avLst/>
        </a:prstGeom>
        <a:solidFill>
          <a:sysClr val="window" lastClr="FFFF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th-TH" sz="1400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แบบ สงม. </a:t>
          </a:r>
          <a:r>
            <a:rPr lang="en-US" sz="1400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lang="th-TH" sz="1400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(สำนักงานเขต)</a:t>
          </a:r>
          <a:endParaRPr lang="th-TH" sz="1400">
            <a:solidFill>
              <a:sysClr val="windowText" lastClr="00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3</xdr:col>
      <xdr:colOff>1457326</xdr:colOff>
      <xdr:row>66</xdr:row>
      <xdr:rowOff>57150</xdr:rowOff>
    </xdr:from>
    <xdr:to>
      <xdr:col>4</xdr:col>
      <xdr:colOff>1495426</xdr:colOff>
      <xdr:row>67</xdr:row>
      <xdr:rowOff>85725</xdr:rowOff>
    </xdr:to>
    <xdr:sp macro="" textlink="">
      <xdr:nvSpPr>
        <xdr:cNvPr id="8" name="Rectangle 1">
          <a:extLst>
            <a:ext uri="{FF2B5EF4-FFF2-40B4-BE49-F238E27FC236}">
              <a16:creationId xmlns:a16="http://schemas.microsoft.com/office/drawing/2014/main" id="{009A43C3-4BFF-4D54-92B9-11D1E83B44DD}"/>
            </a:ext>
          </a:extLst>
        </xdr:cNvPr>
        <xdr:cNvSpPr/>
      </xdr:nvSpPr>
      <xdr:spPr>
        <a:xfrm>
          <a:off x="8010526" y="57150"/>
          <a:ext cx="1543050" cy="333375"/>
        </a:xfrm>
        <a:prstGeom prst="rect">
          <a:avLst/>
        </a:prstGeom>
        <a:solidFill>
          <a:sysClr val="window" lastClr="FFFF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th-TH" sz="1400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แบบ สงม. </a:t>
          </a:r>
          <a:r>
            <a:rPr lang="en-US" sz="1400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lang="th-TH" sz="1400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(สำนักงานเขต)</a:t>
          </a:r>
          <a:endParaRPr lang="th-TH" sz="1400">
            <a:solidFill>
              <a:sysClr val="windowText" lastClr="00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3</xdr:col>
      <xdr:colOff>1457326</xdr:colOff>
      <xdr:row>88</xdr:row>
      <xdr:rowOff>57150</xdr:rowOff>
    </xdr:from>
    <xdr:to>
      <xdr:col>4</xdr:col>
      <xdr:colOff>1495426</xdr:colOff>
      <xdr:row>89</xdr:row>
      <xdr:rowOff>85725</xdr:rowOff>
    </xdr:to>
    <xdr:sp macro="" textlink="">
      <xdr:nvSpPr>
        <xdr:cNvPr id="14" name="Rectangle 1">
          <a:extLst>
            <a:ext uri="{FF2B5EF4-FFF2-40B4-BE49-F238E27FC236}">
              <a16:creationId xmlns:a16="http://schemas.microsoft.com/office/drawing/2014/main" id="{CFB0CF80-3FE3-41B3-A503-EE724D688EAF}"/>
            </a:ext>
          </a:extLst>
        </xdr:cNvPr>
        <xdr:cNvSpPr/>
      </xdr:nvSpPr>
      <xdr:spPr>
        <a:xfrm>
          <a:off x="8010526" y="57150"/>
          <a:ext cx="1543050" cy="333375"/>
        </a:xfrm>
        <a:prstGeom prst="rect">
          <a:avLst/>
        </a:prstGeom>
        <a:solidFill>
          <a:sysClr val="window" lastClr="FFFF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th-TH" sz="1400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แบบ สงม. </a:t>
          </a:r>
          <a:r>
            <a:rPr lang="en-US" sz="1400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lang="th-TH" sz="1400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(สำนักงานเขต)</a:t>
          </a:r>
          <a:endParaRPr lang="th-TH" sz="1400">
            <a:solidFill>
              <a:sysClr val="windowText" lastClr="00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3</xdr:col>
      <xdr:colOff>1457326</xdr:colOff>
      <xdr:row>110</xdr:row>
      <xdr:rowOff>57150</xdr:rowOff>
    </xdr:from>
    <xdr:to>
      <xdr:col>4</xdr:col>
      <xdr:colOff>1495426</xdr:colOff>
      <xdr:row>111</xdr:row>
      <xdr:rowOff>85725</xdr:rowOff>
    </xdr:to>
    <xdr:sp macro="" textlink="">
      <xdr:nvSpPr>
        <xdr:cNvPr id="15" name="Rectangle 1">
          <a:extLst>
            <a:ext uri="{FF2B5EF4-FFF2-40B4-BE49-F238E27FC236}">
              <a16:creationId xmlns:a16="http://schemas.microsoft.com/office/drawing/2014/main" id="{9747CB6B-BAC7-4CA5-B694-2DADD1514AA4}"/>
            </a:ext>
          </a:extLst>
        </xdr:cNvPr>
        <xdr:cNvSpPr/>
      </xdr:nvSpPr>
      <xdr:spPr>
        <a:xfrm>
          <a:off x="8010526" y="57150"/>
          <a:ext cx="1543050" cy="333375"/>
        </a:xfrm>
        <a:prstGeom prst="rect">
          <a:avLst/>
        </a:prstGeom>
        <a:solidFill>
          <a:sysClr val="window" lastClr="FFFF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th-TH" sz="1400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แบบ สงม. </a:t>
          </a:r>
          <a:r>
            <a:rPr lang="en-US" sz="1400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lang="th-TH" sz="1400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(สำนักงานเขต)</a:t>
          </a:r>
          <a:endParaRPr lang="th-TH" sz="1400">
            <a:solidFill>
              <a:sysClr val="windowText" lastClr="00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3</xdr:col>
      <xdr:colOff>1457326</xdr:colOff>
      <xdr:row>137</xdr:row>
      <xdr:rowOff>57150</xdr:rowOff>
    </xdr:from>
    <xdr:to>
      <xdr:col>4</xdr:col>
      <xdr:colOff>1495426</xdr:colOff>
      <xdr:row>138</xdr:row>
      <xdr:rowOff>85725</xdr:rowOff>
    </xdr:to>
    <xdr:sp macro="" textlink="">
      <xdr:nvSpPr>
        <xdr:cNvPr id="16" name="Rectangle 1">
          <a:extLst>
            <a:ext uri="{FF2B5EF4-FFF2-40B4-BE49-F238E27FC236}">
              <a16:creationId xmlns:a16="http://schemas.microsoft.com/office/drawing/2014/main" id="{FCE0118D-7790-4256-BAAD-8E1F832EB7D9}"/>
            </a:ext>
          </a:extLst>
        </xdr:cNvPr>
        <xdr:cNvSpPr/>
      </xdr:nvSpPr>
      <xdr:spPr>
        <a:xfrm>
          <a:off x="8010526" y="57150"/>
          <a:ext cx="1543050" cy="333375"/>
        </a:xfrm>
        <a:prstGeom prst="rect">
          <a:avLst/>
        </a:prstGeom>
        <a:solidFill>
          <a:sysClr val="window" lastClr="FFFF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th-TH" sz="1400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แบบ สงม. </a:t>
          </a:r>
          <a:r>
            <a:rPr lang="en-US" sz="1400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lang="th-TH" sz="1400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(สำนักงานเขต)</a:t>
          </a:r>
          <a:endParaRPr lang="th-TH" sz="1400">
            <a:solidFill>
              <a:sysClr val="windowText" lastClr="00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3</xdr:col>
      <xdr:colOff>1457326</xdr:colOff>
      <xdr:row>163</xdr:row>
      <xdr:rowOff>57150</xdr:rowOff>
    </xdr:from>
    <xdr:to>
      <xdr:col>4</xdr:col>
      <xdr:colOff>1495426</xdr:colOff>
      <xdr:row>164</xdr:row>
      <xdr:rowOff>85725</xdr:rowOff>
    </xdr:to>
    <xdr:sp macro="" textlink="">
      <xdr:nvSpPr>
        <xdr:cNvPr id="17" name="Rectangle 1">
          <a:extLst>
            <a:ext uri="{FF2B5EF4-FFF2-40B4-BE49-F238E27FC236}">
              <a16:creationId xmlns:a16="http://schemas.microsoft.com/office/drawing/2014/main" id="{2BD72B2F-F52E-4F11-A397-E8998C80FA2B}"/>
            </a:ext>
          </a:extLst>
        </xdr:cNvPr>
        <xdr:cNvSpPr/>
      </xdr:nvSpPr>
      <xdr:spPr>
        <a:xfrm>
          <a:off x="8010526" y="57150"/>
          <a:ext cx="1543050" cy="333375"/>
        </a:xfrm>
        <a:prstGeom prst="rect">
          <a:avLst/>
        </a:prstGeom>
        <a:solidFill>
          <a:sysClr val="window" lastClr="FFFF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th-TH" sz="1400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แบบ สงม. </a:t>
          </a:r>
          <a:r>
            <a:rPr lang="en-US" sz="1400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lang="th-TH" sz="1400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(สำนักงานเขต)</a:t>
          </a:r>
          <a:endParaRPr lang="th-TH" sz="1400">
            <a:solidFill>
              <a:sysClr val="windowText" lastClr="00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3</xdr:col>
      <xdr:colOff>1457326</xdr:colOff>
      <xdr:row>186</xdr:row>
      <xdr:rowOff>57150</xdr:rowOff>
    </xdr:from>
    <xdr:to>
      <xdr:col>4</xdr:col>
      <xdr:colOff>1495426</xdr:colOff>
      <xdr:row>187</xdr:row>
      <xdr:rowOff>85725</xdr:rowOff>
    </xdr:to>
    <xdr:sp macro="" textlink="">
      <xdr:nvSpPr>
        <xdr:cNvPr id="18" name="Rectangle 1">
          <a:extLst>
            <a:ext uri="{FF2B5EF4-FFF2-40B4-BE49-F238E27FC236}">
              <a16:creationId xmlns:a16="http://schemas.microsoft.com/office/drawing/2014/main" id="{1942CADA-D575-47E8-90A7-5CF8DD097964}"/>
            </a:ext>
          </a:extLst>
        </xdr:cNvPr>
        <xdr:cNvSpPr/>
      </xdr:nvSpPr>
      <xdr:spPr>
        <a:xfrm>
          <a:off x="8010526" y="57150"/>
          <a:ext cx="1543050" cy="333375"/>
        </a:xfrm>
        <a:prstGeom prst="rect">
          <a:avLst/>
        </a:prstGeom>
        <a:solidFill>
          <a:sysClr val="window" lastClr="FFFF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th-TH" sz="1400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แบบ สงม. </a:t>
          </a:r>
          <a:r>
            <a:rPr lang="en-US" sz="1400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lang="th-TH" sz="1400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(สำนักงานเขต)</a:t>
          </a:r>
          <a:endParaRPr lang="th-TH" sz="1400">
            <a:solidFill>
              <a:sysClr val="windowText" lastClr="00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3</xdr:col>
      <xdr:colOff>1457326</xdr:colOff>
      <xdr:row>209</xdr:row>
      <xdr:rowOff>57150</xdr:rowOff>
    </xdr:from>
    <xdr:to>
      <xdr:col>4</xdr:col>
      <xdr:colOff>1495426</xdr:colOff>
      <xdr:row>210</xdr:row>
      <xdr:rowOff>85725</xdr:rowOff>
    </xdr:to>
    <xdr:sp macro="" textlink="">
      <xdr:nvSpPr>
        <xdr:cNvPr id="19" name="Rectangle 1">
          <a:extLst>
            <a:ext uri="{FF2B5EF4-FFF2-40B4-BE49-F238E27FC236}">
              <a16:creationId xmlns:a16="http://schemas.microsoft.com/office/drawing/2014/main" id="{56934832-13CC-4E07-B1C5-31B4B764F90B}"/>
            </a:ext>
          </a:extLst>
        </xdr:cNvPr>
        <xdr:cNvSpPr/>
      </xdr:nvSpPr>
      <xdr:spPr>
        <a:xfrm>
          <a:off x="8010526" y="57150"/>
          <a:ext cx="1543050" cy="333375"/>
        </a:xfrm>
        <a:prstGeom prst="rect">
          <a:avLst/>
        </a:prstGeom>
        <a:solidFill>
          <a:sysClr val="window" lastClr="FFFF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th-TH" sz="1400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แบบ สงม. </a:t>
          </a:r>
          <a:r>
            <a:rPr lang="en-US" sz="1400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lang="th-TH" sz="1400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(สำนักงานเขต)</a:t>
          </a:r>
          <a:endParaRPr lang="th-TH" sz="1400">
            <a:solidFill>
              <a:sysClr val="windowText" lastClr="00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3</xdr:col>
      <xdr:colOff>1457326</xdr:colOff>
      <xdr:row>234</xdr:row>
      <xdr:rowOff>57150</xdr:rowOff>
    </xdr:from>
    <xdr:to>
      <xdr:col>4</xdr:col>
      <xdr:colOff>1495426</xdr:colOff>
      <xdr:row>235</xdr:row>
      <xdr:rowOff>85725</xdr:rowOff>
    </xdr:to>
    <xdr:sp macro="" textlink="">
      <xdr:nvSpPr>
        <xdr:cNvPr id="20" name="Rectangle 1">
          <a:extLst>
            <a:ext uri="{FF2B5EF4-FFF2-40B4-BE49-F238E27FC236}">
              <a16:creationId xmlns:a16="http://schemas.microsoft.com/office/drawing/2014/main" id="{0BB4415B-A1B0-4FE3-B31C-651B16A4A398}"/>
            </a:ext>
          </a:extLst>
        </xdr:cNvPr>
        <xdr:cNvSpPr/>
      </xdr:nvSpPr>
      <xdr:spPr>
        <a:xfrm>
          <a:off x="8010526" y="57150"/>
          <a:ext cx="1543050" cy="333375"/>
        </a:xfrm>
        <a:prstGeom prst="rect">
          <a:avLst/>
        </a:prstGeom>
        <a:solidFill>
          <a:sysClr val="window" lastClr="FFFF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th-TH" sz="1400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แบบ สงม. </a:t>
          </a:r>
          <a:r>
            <a:rPr lang="en-US" sz="1400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lang="th-TH" sz="1400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(สำนักงานเขต)</a:t>
          </a:r>
          <a:endParaRPr lang="th-TH" sz="1400">
            <a:solidFill>
              <a:sysClr val="windowText" lastClr="00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3</xdr:col>
      <xdr:colOff>1457326</xdr:colOff>
      <xdr:row>22</xdr:row>
      <xdr:rowOff>57150</xdr:rowOff>
    </xdr:from>
    <xdr:to>
      <xdr:col>4</xdr:col>
      <xdr:colOff>1495426</xdr:colOff>
      <xdr:row>23</xdr:row>
      <xdr:rowOff>85725</xdr:rowOff>
    </xdr:to>
    <xdr:sp macro="" textlink="">
      <xdr:nvSpPr>
        <xdr:cNvPr id="21" name="Rectangle 1">
          <a:extLst>
            <a:ext uri="{FF2B5EF4-FFF2-40B4-BE49-F238E27FC236}">
              <a16:creationId xmlns:a16="http://schemas.microsoft.com/office/drawing/2014/main" id="{8CA15EEA-D429-4437-8D99-5EFC58F7FC92}"/>
            </a:ext>
          </a:extLst>
        </xdr:cNvPr>
        <xdr:cNvSpPr/>
      </xdr:nvSpPr>
      <xdr:spPr>
        <a:xfrm>
          <a:off x="8010526" y="57150"/>
          <a:ext cx="1543050" cy="333375"/>
        </a:xfrm>
        <a:prstGeom prst="rect">
          <a:avLst/>
        </a:prstGeom>
        <a:solidFill>
          <a:sysClr val="window" lastClr="FFFF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th-TH" sz="1400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แบบ สงม. </a:t>
          </a:r>
          <a:r>
            <a:rPr lang="en-US" sz="1400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lang="th-TH" sz="1400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(สำนักงานเขต)</a:t>
          </a:r>
          <a:endParaRPr lang="th-TH" sz="1400">
            <a:solidFill>
              <a:sysClr val="windowText" lastClr="00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1419225</xdr:colOff>
      <xdr:row>0</xdr:row>
      <xdr:rowOff>38100</xdr:rowOff>
    </xdr:from>
    <xdr:to>
      <xdr:col>5</xdr:col>
      <xdr:colOff>1571624</xdr:colOff>
      <xdr:row>1</xdr:row>
      <xdr:rowOff>66675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56241FB1-B57F-4847-B032-69917D419A91}"/>
            </a:ext>
          </a:extLst>
        </xdr:cNvPr>
        <xdr:cNvSpPr/>
      </xdr:nvSpPr>
      <xdr:spPr>
        <a:xfrm>
          <a:off x="10620375" y="38100"/>
          <a:ext cx="1771649" cy="333375"/>
        </a:xfrm>
        <a:prstGeom prst="rect">
          <a:avLst/>
        </a:prstGeom>
        <a:solidFill>
          <a:sysClr val="window" lastClr="FFFF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th-TH" sz="1600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แบบ สงม. 2 (สำนักงานเขต)</a:t>
          </a:r>
          <a:endParaRPr lang="th-TH" sz="1600">
            <a:solidFill>
              <a:sysClr val="windowText" lastClr="00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857250</xdr:colOff>
      <xdr:row>0</xdr:row>
      <xdr:rowOff>9525</xdr:rowOff>
    </xdr:from>
    <xdr:to>
      <xdr:col>5</xdr:col>
      <xdr:colOff>1666873</xdr:colOff>
      <xdr:row>1</xdr:row>
      <xdr:rowOff>28574</xdr:rowOff>
    </xdr:to>
    <xdr:sp macro="" textlink="">
      <xdr:nvSpPr>
        <xdr:cNvPr id="3" name="Rectangle 1">
          <a:extLst>
            <a:ext uri="{FF2B5EF4-FFF2-40B4-BE49-F238E27FC236}">
              <a16:creationId xmlns:a16="http://schemas.microsoft.com/office/drawing/2014/main" id="{08651D41-C5B8-4C1B-93CE-30BE0D1FB6A8}"/>
            </a:ext>
          </a:extLst>
        </xdr:cNvPr>
        <xdr:cNvSpPr/>
      </xdr:nvSpPr>
      <xdr:spPr>
        <a:xfrm>
          <a:off x="12411075" y="9525"/>
          <a:ext cx="809623" cy="295274"/>
        </a:xfrm>
        <a:prstGeom prst="rect">
          <a:avLst/>
        </a:prstGeom>
        <a:solidFill>
          <a:sysClr val="window" lastClr="FFFF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th-TH" sz="1400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แบบ สงม. 2        </a:t>
          </a:r>
          <a:endParaRPr lang="th-TH" sz="1400">
            <a:solidFill>
              <a:sysClr val="windowText" lastClr="00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828675</xdr:colOff>
      <xdr:row>0</xdr:row>
      <xdr:rowOff>0</xdr:rowOff>
    </xdr:from>
    <xdr:to>
      <xdr:col>5</xdr:col>
      <xdr:colOff>1638298</xdr:colOff>
      <xdr:row>1</xdr:row>
      <xdr:rowOff>19049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365431AF-486B-477A-933C-F48427000799}"/>
            </a:ext>
          </a:extLst>
        </xdr:cNvPr>
        <xdr:cNvSpPr/>
      </xdr:nvSpPr>
      <xdr:spPr>
        <a:xfrm>
          <a:off x="12382500" y="0"/>
          <a:ext cx="809623" cy="295274"/>
        </a:xfrm>
        <a:prstGeom prst="rect">
          <a:avLst/>
        </a:prstGeom>
        <a:solidFill>
          <a:sysClr val="window" lastClr="FFFF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th-TH" sz="1400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แบบ สงม. 2        </a:t>
          </a:r>
          <a:endParaRPr lang="th-TH" sz="1400">
            <a:solidFill>
              <a:sysClr val="windowText" lastClr="00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866775</xdr:colOff>
      <xdr:row>0</xdr:row>
      <xdr:rowOff>0</xdr:rowOff>
    </xdr:from>
    <xdr:to>
      <xdr:col>5</xdr:col>
      <xdr:colOff>1676398</xdr:colOff>
      <xdr:row>0</xdr:row>
      <xdr:rowOff>295274</xdr:rowOff>
    </xdr:to>
    <xdr:sp macro="" textlink="">
      <xdr:nvSpPr>
        <xdr:cNvPr id="4" name="Rectangle 1">
          <a:extLst>
            <a:ext uri="{FF2B5EF4-FFF2-40B4-BE49-F238E27FC236}">
              <a16:creationId xmlns:a16="http://schemas.microsoft.com/office/drawing/2014/main" id="{D7BB9AF1-C8A6-4A60-AF12-1ADBEA0CF3E9}"/>
            </a:ext>
          </a:extLst>
        </xdr:cNvPr>
        <xdr:cNvSpPr/>
      </xdr:nvSpPr>
      <xdr:spPr>
        <a:xfrm>
          <a:off x="12420600" y="0"/>
          <a:ext cx="809623" cy="295274"/>
        </a:xfrm>
        <a:prstGeom prst="rect">
          <a:avLst/>
        </a:prstGeom>
        <a:solidFill>
          <a:sysClr val="window" lastClr="FFFF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th-TH" sz="1400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แบบ สงม. 2        </a:t>
          </a:r>
          <a:endParaRPr lang="th-TH" sz="1400">
            <a:solidFill>
              <a:sysClr val="windowText" lastClr="00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857250</xdr:colOff>
      <xdr:row>0</xdr:row>
      <xdr:rowOff>0</xdr:rowOff>
    </xdr:from>
    <xdr:to>
      <xdr:col>5</xdr:col>
      <xdr:colOff>1666873</xdr:colOff>
      <xdr:row>0</xdr:row>
      <xdr:rowOff>295274</xdr:rowOff>
    </xdr:to>
    <xdr:sp macro="" textlink="">
      <xdr:nvSpPr>
        <xdr:cNvPr id="3" name="Rectangle 1">
          <a:extLst>
            <a:ext uri="{FF2B5EF4-FFF2-40B4-BE49-F238E27FC236}">
              <a16:creationId xmlns:a16="http://schemas.microsoft.com/office/drawing/2014/main" id="{07D14C76-D8FE-412A-B39E-11E9AD271C55}"/>
            </a:ext>
          </a:extLst>
        </xdr:cNvPr>
        <xdr:cNvSpPr/>
      </xdr:nvSpPr>
      <xdr:spPr>
        <a:xfrm>
          <a:off x="12411075" y="0"/>
          <a:ext cx="809623" cy="295274"/>
        </a:xfrm>
        <a:prstGeom prst="rect">
          <a:avLst/>
        </a:prstGeom>
        <a:solidFill>
          <a:sysClr val="window" lastClr="FFFF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th-TH" sz="1400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แบบ สงม. 2        </a:t>
          </a:r>
          <a:endParaRPr lang="th-TH" sz="1400">
            <a:solidFill>
              <a:sysClr val="windowText" lastClr="00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10;&#3633;&#3609;&#3607;&#3638;&#3585;&#3605;&#3656;&#3634;&#3591;&#3654;/&#3591;&#3610;&#3611;&#3619;&#3632;&#3617;&#3634;&#3603;/&#3626;&#3591;&#3617;.1%20&#3626;&#3591;&#3617;.2%20&#3649;&#3612;&#3609;&#3650;&#3629;&#3607;&#3637;%20&#3650;&#3588;&#3619;&#3591;&#3631;&#3605;&#3656;&#3634;&#3591;&#3654;/&#3611;&#3637;&#3591;&#3610;%202566/&#3626;&#3591;&#3617;.1-2%20(&#3626;&#3609;&#3586;.&#3588;&#3621;&#3629;&#3591;&#3626;&#3634;&#3617;&#3623;&#3634;)&#3611;&#3637;&#3591;&#3610;2566%20&#3627;&#3633;&#3585;&#3650;&#3629;&#3609;&#3629;&#3633;&#3605;&#3650;&#3609;&#3617;&#3633;&#3605;&#3636;&#3649;&#3621;&#3657;&#3623;(28%20&#3585;.&#3618;.6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งม.1 (แยกเดือน)"/>
      <sheetName val="สงม.1"/>
      <sheetName val="สงม.1 (รวม)"/>
      <sheetName val="สงม.1 (แยกฝ่าย)"/>
      <sheetName val="สงม. 2 (งบบุคลากร)"/>
      <sheetName val="สงม. 2 ปกครอง"/>
      <sheetName val="สงม. 2 ทะเบียน"/>
      <sheetName val="สงม. 2 คลัง"/>
      <sheetName val="สงม. 2 รายได้"/>
      <sheetName val="สงม. 2 รักษาฯ"/>
      <sheetName val="สงม. 2 เทศกิจ"/>
      <sheetName val="สงม. 2 โยธา"/>
      <sheetName val="สงม. 2 พัฒนาชุมชน"/>
      <sheetName val="สงม. 2 สวล."/>
      <sheetName val="สงม. 2 ศึกษา"/>
      <sheetName val="แนบท้ายแบบ 1"/>
      <sheetName val="สงม.1คลัง"/>
      <sheetName val="สงม. 2งบประมาณ"/>
      <sheetName val="form. สงม. 2 (โยธา)"/>
      <sheetName val="form.สงม. 2 (สวล.)"/>
      <sheetName val="ศึกษา"/>
    </sheetNames>
    <sheetDataSet>
      <sheetData sheetId="0"/>
      <sheetData sheetId="1"/>
      <sheetData sheetId="2">
        <row r="95">
          <cell r="B95">
            <v>27946800</v>
          </cell>
          <cell r="C95">
            <v>7865900</v>
          </cell>
          <cell r="D95">
            <v>16532900</v>
          </cell>
          <cell r="E95">
            <v>3548000</v>
          </cell>
        </row>
        <row r="96">
          <cell r="B96">
            <v>203261200</v>
          </cell>
          <cell r="C96">
            <v>92562420</v>
          </cell>
          <cell r="D96">
            <v>74171630</v>
          </cell>
          <cell r="E96">
            <v>36527150</v>
          </cell>
        </row>
        <row r="97">
          <cell r="B97">
            <v>202387000</v>
          </cell>
          <cell r="C97">
            <v>92387080</v>
          </cell>
          <cell r="D97">
            <v>73730730</v>
          </cell>
          <cell r="E97">
            <v>36269190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4B8CFD-29D6-4B5D-938F-DA271EC2ECE4}">
  <sheetPr>
    <tabColor rgb="FF00B050"/>
  </sheetPr>
  <dimension ref="A1:X171"/>
  <sheetViews>
    <sheetView topLeftCell="A13" workbookViewId="0">
      <selection activeCell="B41" sqref="B41"/>
    </sheetView>
  </sheetViews>
  <sheetFormatPr defaultColWidth="9" defaultRowHeight="24" outlineLevelRow="1" x14ac:dyDescent="0.2"/>
  <cols>
    <col min="1" max="1" width="40.375" style="219" customWidth="1"/>
    <col min="2" max="3" width="14.625" style="219" customWidth="1"/>
    <col min="4" max="7" width="12.625" style="430" customWidth="1"/>
    <col min="8" max="11" width="12.625" style="415" customWidth="1"/>
    <col min="12" max="15" width="12.625" style="401" customWidth="1"/>
    <col min="16" max="16" width="16.375" style="348" hidden="1" customWidth="1"/>
    <col min="17" max="17" width="11.375" style="348" hidden="1" customWidth="1"/>
    <col min="18" max="18" width="16.375" style="348" hidden="1" customWidth="1"/>
    <col min="19" max="19" width="11.375" style="348" hidden="1" customWidth="1"/>
    <col min="20" max="20" width="16.375" style="348" hidden="1" customWidth="1"/>
    <col min="21" max="21" width="11.375" style="348" hidden="1" customWidth="1"/>
    <col min="22" max="22" width="14.75" style="219" customWidth="1"/>
    <col min="23" max="23" width="16.25" style="219" customWidth="1"/>
    <col min="24" max="24" width="13.75" style="219" bestFit="1" customWidth="1"/>
    <col min="25" max="16384" width="9" style="219"/>
  </cols>
  <sheetData>
    <row r="1" spans="1:24" ht="24.95" customHeight="1" x14ac:dyDescent="0.2">
      <c r="A1" s="672" t="s">
        <v>31</v>
      </c>
      <c r="B1" s="672"/>
      <c r="C1" s="672"/>
      <c r="D1" s="672"/>
      <c r="E1" s="672"/>
      <c r="F1" s="672"/>
      <c r="G1" s="672"/>
      <c r="H1" s="672"/>
      <c r="I1" s="672"/>
      <c r="J1" s="672"/>
      <c r="K1" s="672"/>
      <c r="L1" s="672"/>
      <c r="M1" s="672"/>
      <c r="N1" s="672"/>
      <c r="O1" s="672"/>
      <c r="P1" s="672"/>
      <c r="Q1" s="672"/>
      <c r="R1" s="672"/>
      <c r="S1" s="672"/>
      <c r="T1" s="672"/>
    </row>
    <row r="2" spans="1:24" ht="24.95" customHeight="1" x14ac:dyDescent="0.2">
      <c r="A2" s="672" t="s">
        <v>224</v>
      </c>
      <c r="B2" s="672"/>
      <c r="C2" s="672"/>
      <c r="D2" s="672"/>
      <c r="E2" s="672"/>
      <c r="F2" s="672"/>
      <c r="G2" s="672"/>
      <c r="H2" s="672"/>
      <c r="I2" s="672"/>
      <c r="J2" s="672"/>
      <c r="K2" s="672"/>
      <c r="L2" s="672"/>
      <c r="M2" s="672"/>
      <c r="N2" s="672"/>
      <c r="O2" s="672"/>
      <c r="P2" s="672"/>
      <c r="Q2" s="672"/>
      <c r="R2" s="672"/>
      <c r="S2" s="672"/>
      <c r="T2" s="672"/>
    </row>
    <row r="3" spans="1:24" ht="11.25" customHeight="1" x14ac:dyDescent="0.25">
      <c r="A3" s="122"/>
      <c r="B3" s="122"/>
      <c r="C3" s="122"/>
      <c r="D3" s="424"/>
      <c r="E3" s="424"/>
      <c r="F3" s="424"/>
      <c r="G3" s="424"/>
      <c r="H3" s="409"/>
      <c r="I3" s="409"/>
      <c r="J3" s="409"/>
      <c r="K3" s="409"/>
      <c r="L3" s="395"/>
      <c r="M3" s="395"/>
      <c r="N3" s="395"/>
      <c r="O3" s="395"/>
      <c r="P3" s="349"/>
      <c r="Q3" s="349"/>
      <c r="R3" s="349"/>
      <c r="S3" s="349"/>
      <c r="T3" s="349"/>
      <c r="U3" s="349"/>
    </row>
    <row r="4" spans="1:24" ht="24.95" customHeight="1" x14ac:dyDescent="0.25">
      <c r="A4" s="122"/>
      <c r="B4" s="122"/>
      <c r="C4" s="122"/>
      <c r="D4" s="424"/>
      <c r="E4" s="424"/>
      <c r="F4" s="424"/>
      <c r="G4" s="424"/>
      <c r="H4" s="409"/>
      <c r="I4" s="409"/>
      <c r="J4" s="409"/>
      <c r="K4" s="409"/>
      <c r="L4" s="395"/>
      <c r="M4" s="395"/>
      <c r="N4" s="395"/>
      <c r="O4" s="395"/>
      <c r="P4" s="349"/>
      <c r="Q4" s="349"/>
      <c r="R4" s="349"/>
      <c r="S4" s="349"/>
      <c r="T4" s="350" t="s">
        <v>28</v>
      </c>
      <c r="U4" s="349"/>
    </row>
    <row r="5" spans="1:24" ht="24.95" customHeight="1" x14ac:dyDescent="0.2">
      <c r="A5" s="671" t="s">
        <v>190</v>
      </c>
      <c r="B5" s="239" t="s">
        <v>1</v>
      </c>
      <c r="C5" s="239"/>
      <c r="D5" s="332">
        <v>23651</v>
      </c>
      <c r="E5" s="332">
        <v>23682</v>
      </c>
      <c r="F5" s="332">
        <v>23712</v>
      </c>
      <c r="G5" s="332">
        <v>23743</v>
      </c>
      <c r="H5" s="333">
        <v>23774</v>
      </c>
      <c r="I5" s="333">
        <v>23802</v>
      </c>
      <c r="J5" s="333">
        <v>23833</v>
      </c>
      <c r="K5" s="333">
        <v>23863</v>
      </c>
      <c r="L5" s="376">
        <v>23894</v>
      </c>
      <c r="M5" s="376">
        <v>23924</v>
      </c>
      <c r="N5" s="376">
        <v>23955</v>
      </c>
      <c r="O5" s="376">
        <v>23986</v>
      </c>
      <c r="P5" s="351" t="s">
        <v>191</v>
      </c>
      <c r="Q5" s="351"/>
      <c r="R5" s="351" t="s">
        <v>192</v>
      </c>
      <c r="S5" s="351"/>
      <c r="T5" s="351" t="s">
        <v>193</v>
      </c>
      <c r="U5" s="351"/>
    </row>
    <row r="6" spans="1:24" s="240" customFormat="1" ht="24.95" customHeight="1" x14ac:dyDescent="0.2">
      <c r="A6" s="671"/>
      <c r="B6" s="239" t="s">
        <v>2</v>
      </c>
      <c r="C6" s="239"/>
      <c r="D6" s="425"/>
      <c r="E6" s="425"/>
      <c r="F6" s="425"/>
      <c r="G6" s="425"/>
      <c r="H6" s="410"/>
      <c r="I6" s="410"/>
      <c r="J6" s="410"/>
      <c r="K6" s="410"/>
      <c r="L6" s="396"/>
      <c r="M6" s="396"/>
      <c r="N6" s="396"/>
      <c r="O6" s="396"/>
      <c r="P6" s="351" t="s">
        <v>2</v>
      </c>
      <c r="Q6" s="351"/>
      <c r="R6" s="351" t="s">
        <v>2</v>
      </c>
      <c r="S6" s="351"/>
      <c r="T6" s="351" t="s">
        <v>2</v>
      </c>
      <c r="U6" s="351"/>
    </row>
    <row r="7" spans="1:24" s="240" customFormat="1" ht="24.95" customHeight="1" x14ac:dyDescent="0.2">
      <c r="A7" s="334" t="s">
        <v>172</v>
      </c>
      <c r="B7" s="335"/>
      <c r="C7" s="335"/>
      <c r="D7" s="426"/>
      <c r="E7" s="426"/>
      <c r="F7" s="426"/>
      <c r="G7" s="426"/>
      <c r="H7" s="411"/>
      <c r="I7" s="411"/>
      <c r="J7" s="411"/>
      <c r="K7" s="411"/>
      <c r="L7" s="397"/>
      <c r="M7" s="397"/>
      <c r="N7" s="397"/>
      <c r="O7" s="397"/>
      <c r="P7" s="352"/>
      <c r="Q7" s="352"/>
      <c r="R7" s="352"/>
      <c r="S7" s="352"/>
      <c r="T7" s="352"/>
      <c r="U7" s="352"/>
    </row>
    <row r="8" spans="1:24" s="240" customFormat="1" ht="24.95" customHeight="1" x14ac:dyDescent="0.2">
      <c r="A8" s="336" t="s">
        <v>194</v>
      </c>
      <c r="B8" s="335" t="e">
        <f>B9+B12</f>
        <v>#REF!</v>
      </c>
      <c r="C8" s="335"/>
      <c r="D8" s="426"/>
      <c r="E8" s="426"/>
      <c r="F8" s="426"/>
      <c r="G8" s="426"/>
      <c r="H8" s="411"/>
      <c r="I8" s="411"/>
      <c r="J8" s="411"/>
      <c r="K8" s="411"/>
      <c r="L8" s="397"/>
      <c r="M8" s="397"/>
      <c r="N8" s="397"/>
      <c r="O8" s="397"/>
      <c r="P8" s="352" t="e">
        <f>P9+P12</f>
        <v>#REF!</v>
      </c>
      <c r="Q8" s="352"/>
      <c r="R8" s="352" t="e">
        <f t="shared" ref="R8:T8" si="0">R9+R12</f>
        <v>#REF!</v>
      </c>
      <c r="S8" s="352"/>
      <c r="T8" s="352" t="e">
        <f t="shared" si="0"/>
        <v>#REF!</v>
      </c>
      <c r="U8" s="352"/>
      <c r="V8" s="337" t="e">
        <f>SUM(D8:O8)-B8</f>
        <v>#REF!</v>
      </c>
    </row>
    <row r="9" spans="1:24" ht="24.95" customHeight="1" x14ac:dyDescent="0.2">
      <c r="A9" s="338" t="s">
        <v>195</v>
      </c>
      <c r="B9" s="335" t="e">
        <f>P9+R9+T9</f>
        <v>#REF!</v>
      </c>
      <c r="C9" s="335"/>
      <c r="D9" s="426"/>
      <c r="E9" s="426"/>
      <c r="F9" s="426"/>
      <c r="G9" s="426"/>
      <c r="H9" s="411"/>
      <c r="I9" s="411"/>
      <c r="J9" s="411"/>
      <c r="K9" s="411"/>
      <c r="L9" s="397"/>
      <c r="M9" s="397"/>
      <c r="N9" s="397"/>
      <c r="O9" s="397"/>
      <c r="P9" s="352" t="e">
        <f>SUM(P10:P11)</f>
        <v>#REF!</v>
      </c>
      <c r="Q9" s="352"/>
      <c r="R9" s="352" t="e">
        <f t="shared" ref="R9:T9" si="1">SUM(R10:R11)</f>
        <v>#REF!</v>
      </c>
      <c r="S9" s="352"/>
      <c r="T9" s="352" t="e">
        <f t="shared" si="1"/>
        <v>#REF!</v>
      </c>
      <c r="U9" s="352"/>
      <c r="V9" s="337" t="e">
        <f t="shared" ref="V9:V72" si="2">SUM(D9:O9)-B9</f>
        <v>#REF!</v>
      </c>
    </row>
    <row r="10" spans="1:24" ht="24.95" customHeight="1" outlineLevel="1" x14ac:dyDescent="0.2">
      <c r="A10" s="285" t="s">
        <v>48</v>
      </c>
      <c r="B10" s="339" t="e">
        <f>P10+R10+T10</f>
        <v>#REF!</v>
      </c>
      <c r="C10" s="339" t="e">
        <f>SUM(D10:O10)-B10</f>
        <v>#REF!</v>
      </c>
      <c r="D10" s="427">
        <v>0</v>
      </c>
      <c r="E10" s="427">
        <v>0</v>
      </c>
      <c r="F10" s="427" t="e">
        <f>P10</f>
        <v>#REF!</v>
      </c>
      <c r="G10" s="427">
        <v>0</v>
      </c>
      <c r="H10" s="412"/>
      <c r="I10" s="412"/>
      <c r="J10" s="412"/>
      <c r="K10" s="412" t="e">
        <f>R10</f>
        <v>#REF!</v>
      </c>
      <c r="L10" s="398"/>
      <c r="M10" s="398"/>
      <c r="N10" s="398"/>
      <c r="O10" s="398" t="e">
        <f>T10</f>
        <v>#REF!</v>
      </c>
      <c r="P10" s="353" t="e">
        <f>'สงม. 2 ปกครอง'!#REF!</f>
        <v>#REF!</v>
      </c>
      <c r="Q10" s="353" t="e">
        <f>D10+E10+F10+G10-P10</f>
        <v>#REF!</v>
      </c>
      <c r="R10" s="353" t="e">
        <f>'สงม. 2 ปกครอง'!#REF!</f>
        <v>#REF!</v>
      </c>
      <c r="S10" s="353" t="e">
        <f>H10+I10+J10+K10-R10</f>
        <v>#REF!</v>
      </c>
      <c r="T10" s="353" t="e">
        <f>'สงม. 2 ปกครอง'!#REF!</f>
        <v>#REF!</v>
      </c>
      <c r="U10" s="353" t="e">
        <f>L10+M10+N10+O10-T10</f>
        <v>#REF!</v>
      </c>
      <c r="V10" s="337" t="e">
        <f t="shared" si="2"/>
        <v>#REF!</v>
      </c>
    </row>
    <row r="11" spans="1:24" ht="24.95" customHeight="1" outlineLevel="1" x14ac:dyDescent="0.2">
      <c r="A11" s="285" t="s">
        <v>49</v>
      </c>
      <c r="B11" s="339">
        <f t="shared" ref="B11:B16" si="3">P11+R11+T11</f>
        <v>4530100</v>
      </c>
      <c r="C11" s="339">
        <f>SUM(D11:O11)-B11</f>
        <v>-2101665</v>
      </c>
      <c r="D11" s="427">
        <f>P11/4</f>
        <v>1020100</v>
      </c>
      <c r="E11" s="427">
        <v>356948.75</v>
      </c>
      <c r="F11" s="427">
        <v>356948.75</v>
      </c>
      <c r="G11" s="427">
        <v>356948.75</v>
      </c>
      <c r="H11" s="412">
        <f>R11/4</f>
        <v>66500</v>
      </c>
      <c r="I11" s="412">
        <v>42268.75</v>
      </c>
      <c r="J11" s="412">
        <v>42268.75</v>
      </c>
      <c r="K11" s="412">
        <v>42268.75</v>
      </c>
      <c r="L11" s="398">
        <f>T11/4</f>
        <v>45925</v>
      </c>
      <c r="M11" s="398">
        <v>32752.5</v>
      </c>
      <c r="N11" s="398">
        <v>32752.5</v>
      </c>
      <c r="O11" s="398">
        <v>32752.5</v>
      </c>
      <c r="P11" s="353">
        <f>'สงม. 2 ปกครอง'!D11</f>
        <v>4080400</v>
      </c>
      <c r="Q11" s="353">
        <f>D11+E11+F11+G11-P11</f>
        <v>-1989453.75</v>
      </c>
      <c r="R11" s="353">
        <f>'สงม. 2 ปกครอง'!E11</f>
        <v>266000</v>
      </c>
      <c r="S11" s="353">
        <f t="shared" ref="S11:S74" si="4">H11+I11+J11+K11-R11</f>
        <v>-72693.75</v>
      </c>
      <c r="T11" s="353">
        <f>'สงม. 2 ปกครอง'!F11</f>
        <v>183700</v>
      </c>
      <c r="U11" s="353">
        <f t="shared" ref="U11:U74" si="5">L11+M11+N11+O11-T11</f>
        <v>-39517.5</v>
      </c>
      <c r="V11" s="337">
        <f t="shared" si="2"/>
        <v>-2101665</v>
      </c>
    </row>
    <row r="12" spans="1:24" ht="24.95" customHeight="1" outlineLevel="1" x14ac:dyDescent="0.2">
      <c r="A12" s="338" t="s">
        <v>196</v>
      </c>
      <c r="B12" s="335" t="e">
        <f t="shared" si="3"/>
        <v>#REF!</v>
      </c>
      <c r="C12" s="335">
        <f t="shared" ref="C12:C31" si="6">SUM(D12:O12)</f>
        <v>0</v>
      </c>
      <c r="D12" s="426"/>
      <c r="E12" s="426"/>
      <c r="F12" s="426"/>
      <c r="G12" s="426"/>
      <c r="H12" s="411"/>
      <c r="I12" s="411"/>
      <c r="J12" s="411"/>
      <c r="K12" s="411"/>
      <c r="L12" s="397"/>
      <c r="M12" s="397"/>
      <c r="N12" s="397"/>
      <c r="O12" s="397"/>
      <c r="P12" s="352" t="e">
        <f>SUM(P13:P15)</f>
        <v>#REF!</v>
      </c>
      <c r="Q12" s="352" t="e">
        <f t="shared" ref="Q12:Q74" si="7">D12+E12+F12+G12-P12</f>
        <v>#REF!</v>
      </c>
      <c r="R12" s="352" t="e">
        <f t="shared" ref="R12:T12" si="8">SUM(R13:R15)</f>
        <v>#REF!</v>
      </c>
      <c r="S12" s="352" t="e">
        <f t="shared" si="4"/>
        <v>#REF!</v>
      </c>
      <c r="T12" s="352" t="e">
        <f t="shared" si="8"/>
        <v>#REF!</v>
      </c>
      <c r="U12" s="352" t="e">
        <f t="shared" si="5"/>
        <v>#REF!</v>
      </c>
      <c r="V12" s="337" t="e">
        <f t="shared" si="2"/>
        <v>#REF!</v>
      </c>
    </row>
    <row r="13" spans="1:24" ht="24.95" customHeight="1" outlineLevel="1" x14ac:dyDescent="0.2">
      <c r="A13" s="285" t="s">
        <v>48</v>
      </c>
      <c r="B13" s="339" t="e">
        <f t="shared" si="3"/>
        <v>#REF!</v>
      </c>
      <c r="C13" s="339" t="e">
        <f t="shared" si="6"/>
        <v>#REF!</v>
      </c>
      <c r="D13" s="427"/>
      <c r="E13" s="427"/>
      <c r="F13" s="427" t="e">
        <f>P13</f>
        <v>#REF!</v>
      </c>
      <c r="G13" s="427"/>
      <c r="H13" s="412"/>
      <c r="I13" s="412"/>
      <c r="J13" s="412"/>
      <c r="K13" s="412" t="e">
        <f>R13</f>
        <v>#REF!</v>
      </c>
      <c r="L13" s="398"/>
      <c r="M13" s="398"/>
      <c r="N13" s="398"/>
      <c r="O13" s="398" t="e">
        <f>T13</f>
        <v>#REF!</v>
      </c>
      <c r="P13" s="353" t="e">
        <f>'สงม. 2 ปกครอง'!#REF!</f>
        <v>#REF!</v>
      </c>
      <c r="Q13" s="353" t="e">
        <f t="shared" si="7"/>
        <v>#REF!</v>
      </c>
      <c r="R13" s="353" t="e">
        <f>'สงม. 2 ปกครอง'!#REF!</f>
        <v>#REF!</v>
      </c>
      <c r="S13" s="353" t="e">
        <f t="shared" si="4"/>
        <v>#REF!</v>
      </c>
      <c r="T13" s="353" t="e">
        <f>'สงม. 2 ปกครอง'!#REF!</f>
        <v>#REF!</v>
      </c>
      <c r="U13" s="353" t="e">
        <f t="shared" si="5"/>
        <v>#REF!</v>
      </c>
      <c r="V13" s="337" t="e">
        <f t="shared" si="2"/>
        <v>#REF!</v>
      </c>
    </row>
    <row r="14" spans="1:24" ht="24.95" customHeight="1" outlineLevel="1" x14ac:dyDescent="0.2">
      <c r="A14" s="285" t="s">
        <v>49</v>
      </c>
      <c r="B14" s="339">
        <f t="shared" si="3"/>
        <v>983000</v>
      </c>
      <c r="C14" s="339">
        <f t="shared" si="6"/>
        <v>2195240</v>
      </c>
      <c r="D14" s="427">
        <f t="shared" ref="D14:D16" si="9">P14/4</f>
        <v>94100</v>
      </c>
      <c r="E14" s="427">
        <v>529470</v>
      </c>
      <c r="F14" s="427">
        <v>529470</v>
      </c>
      <c r="G14" s="427">
        <v>529470</v>
      </c>
      <c r="H14" s="412">
        <f>R14/4</f>
        <v>107050</v>
      </c>
      <c r="I14" s="412">
        <v>73965</v>
      </c>
      <c r="J14" s="412">
        <v>73965</v>
      </c>
      <c r="K14" s="412">
        <v>73965</v>
      </c>
      <c r="L14" s="398">
        <f t="shared" ref="L14:L16" si="10">T14/4</f>
        <v>44600</v>
      </c>
      <c r="M14" s="398">
        <v>46395</v>
      </c>
      <c r="N14" s="398">
        <v>46395</v>
      </c>
      <c r="O14" s="398">
        <v>46395</v>
      </c>
      <c r="P14" s="353">
        <f>'สงม. 2 ปกครอง'!D42</f>
        <v>376400</v>
      </c>
      <c r="Q14" s="353">
        <f t="shared" si="7"/>
        <v>1306110</v>
      </c>
      <c r="R14" s="353">
        <f>'สงม. 2 ปกครอง'!E42</f>
        <v>428200</v>
      </c>
      <c r="S14" s="353">
        <f t="shared" si="4"/>
        <v>-99255</v>
      </c>
      <c r="T14" s="353">
        <f>'สงม. 2 ปกครอง'!F42</f>
        <v>178400</v>
      </c>
      <c r="U14" s="353">
        <f t="shared" si="5"/>
        <v>5385</v>
      </c>
      <c r="V14" s="337">
        <f t="shared" si="2"/>
        <v>1212240</v>
      </c>
    </row>
    <row r="15" spans="1:24" ht="24.95" customHeight="1" outlineLevel="1" x14ac:dyDescent="0.2">
      <c r="A15" s="285" t="s">
        <v>53</v>
      </c>
      <c r="B15" s="339">
        <f t="shared" si="3"/>
        <v>343200</v>
      </c>
      <c r="C15" s="339">
        <f t="shared" si="6"/>
        <v>541125</v>
      </c>
      <c r="D15" s="427">
        <f t="shared" si="9"/>
        <v>85800</v>
      </c>
      <c r="E15" s="427">
        <v>29500</v>
      </c>
      <c r="F15" s="427">
        <v>29500</v>
      </c>
      <c r="G15" s="427">
        <v>29500</v>
      </c>
      <c r="H15" s="412">
        <f>R15/4</f>
        <v>0</v>
      </c>
      <c r="I15" s="412">
        <v>93275</v>
      </c>
      <c r="J15" s="412">
        <v>93275</v>
      </c>
      <c r="K15" s="412">
        <v>93275</v>
      </c>
      <c r="L15" s="398">
        <f t="shared" si="10"/>
        <v>0</v>
      </c>
      <c r="M15" s="398">
        <v>29000</v>
      </c>
      <c r="N15" s="398">
        <v>29000</v>
      </c>
      <c r="O15" s="398">
        <v>29000</v>
      </c>
      <c r="P15" s="353">
        <f>'สงม. 2 ปกครอง'!D66+'สงม. 2 ปกครอง'!D59</f>
        <v>343200</v>
      </c>
      <c r="Q15" s="353">
        <f t="shared" si="7"/>
        <v>-168900</v>
      </c>
      <c r="R15" s="353">
        <f>'สงม. 2 ปกครอง'!E66+'สงม. 2 ปกครอง'!E59</f>
        <v>0</v>
      </c>
      <c r="S15" s="353">
        <f t="shared" si="4"/>
        <v>279825</v>
      </c>
      <c r="T15" s="353">
        <f>'สงม. 2 ปกครอง'!F66+'สงม. 2 ปกครอง'!F59</f>
        <v>0</v>
      </c>
      <c r="U15" s="353">
        <f t="shared" si="5"/>
        <v>87000</v>
      </c>
      <c r="V15" s="337">
        <f t="shared" si="2"/>
        <v>197925</v>
      </c>
      <c r="W15" s="287"/>
    </row>
    <row r="16" spans="1:24" s="240" customFormat="1" ht="24.95" customHeight="1" outlineLevel="1" x14ac:dyDescent="0.2">
      <c r="A16" s="354" t="s">
        <v>197</v>
      </c>
      <c r="B16" s="335" t="e">
        <f t="shared" si="3"/>
        <v>#REF!</v>
      </c>
      <c r="C16" s="335" t="e">
        <f t="shared" si="6"/>
        <v>#REF!</v>
      </c>
      <c r="D16" s="426" t="e">
        <f t="shared" si="9"/>
        <v>#REF!</v>
      </c>
      <c r="E16" s="426">
        <v>0</v>
      </c>
      <c r="F16" s="426">
        <v>0</v>
      </c>
      <c r="G16" s="426">
        <v>0</v>
      </c>
      <c r="H16" s="411" t="e">
        <f>R16/4</f>
        <v>#REF!</v>
      </c>
      <c r="I16" s="411">
        <v>1459875</v>
      </c>
      <c r="J16" s="411">
        <v>1459875</v>
      </c>
      <c r="K16" s="411">
        <v>1459875</v>
      </c>
      <c r="L16" s="397" t="e">
        <f t="shared" si="10"/>
        <v>#REF!</v>
      </c>
      <c r="M16" s="397">
        <v>0</v>
      </c>
      <c r="N16" s="397">
        <v>0</v>
      </c>
      <c r="O16" s="397">
        <v>0</v>
      </c>
      <c r="P16" s="352" t="e">
        <f>'สงม. 2 ปกครอง'!#REF!+'สงม. 2 ปกครอง'!#REF!</f>
        <v>#REF!</v>
      </c>
      <c r="Q16" s="352" t="e">
        <f t="shared" si="7"/>
        <v>#REF!</v>
      </c>
      <c r="R16" s="352" t="e">
        <f>'สงม. 2 ปกครอง'!#REF!+'สงม. 2 ปกครอง'!#REF!</f>
        <v>#REF!</v>
      </c>
      <c r="S16" s="352" t="e">
        <f t="shared" si="4"/>
        <v>#REF!</v>
      </c>
      <c r="T16" s="352" t="e">
        <f>'สงม. 2 ปกครอง'!#REF!+'สงม. 2 ปกครอง'!#REF!</f>
        <v>#REF!</v>
      </c>
      <c r="U16" s="352" t="e">
        <f t="shared" si="5"/>
        <v>#REF!</v>
      </c>
      <c r="V16" s="337" t="e">
        <f t="shared" si="2"/>
        <v>#REF!</v>
      </c>
      <c r="W16" s="337" t="e">
        <f>P8+R8+T8+P16+R16+T16</f>
        <v>#REF!</v>
      </c>
      <c r="X16" s="337" t="e">
        <f>V16-W16</f>
        <v>#REF!</v>
      </c>
    </row>
    <row r="17" spans="1:23" ht="24.95" customHeight="1" outlineLevel="1" x14ac:dyDescent="0.2">
      <c r="A17" s="334" t="s">
        <v>178</v>
      </c>
      <c r="B17" s="335"/>
      <c r="C17" s="335">
        <f t="shared" si="6"/>
        <v>0</v>
      </c>
      <c r="D17" s="426"/>
      <c r="E17" s="426"/>
      <c r="F17" s="426"/>
      <c r="G17" s="426"/>
      <c r="H17" s="411"/>
      <c r="I17" s="411"/>
      <c r="J17" s="411"/>
      <c r="K17" s="411"/>
      <c r="L17" s="397"/>
      <c r="M17" s="397"/>
      <c r="N17" s="397"/>
      <c r="O17" s="397"/>
      <c r="P17" s="352"/>
      <c r="Q17" s="352">
        <f t="shared" si="7"/>
        <v>0</v>
      </c>
      <c r="R17" s="352"/>
      <c r="S17" s="352">
        <f t="shared" si="4"/>
        <v>0</v>
      </c>
      <c r="T17" s="352"/>
      <c r="U17" s="352">
        <f t="shared" si="5"/>
        <v>0</v>
      </c>
      <c r="V17" s="337">
        <f t="shared" si="2"/>
        <v>0</v>
      </c>
    </row>
    <row r="18" spans="1:23" ht="24.95" customHeight="1" outlineLevel="1" x14ac:dyDescent="0.2">
      <c r="A18" s="336" t="s">
        <v>194</v>
      </c>
      <c r="B18" s="335" t="e">
        <f t="shared" ref="B18:B21" si="11">P18+R18+T18</f>
        <v>#REF!</v>
      </c>
      <c r="C18" s="335">
        <f t="shared" si="6"/>
        <v>0</v>
      </c>
      <c r="D18" s="426"/>
      <c r="E18" s="426"/>
      <c r="F18" s="426"/>
      <c r="G18" s="426"/>
      <c r="H18" s="411"/>
      <c r="I18" s="411"/>
      <c r="J18" s="411"/>
      <c r="K18" s="411"/>
      <c r="L18" s="397"/>
      <c r="M18" s="397"/>
      <c r="N18" s="397"/>
      <c r="O18" s="397"/>
      <c r="P18" s="352" t="e">
        <f>P19</f>
        <v>#REF!</v>
      </c>
      <c r="Q18" s="352" t="e">
        <f t="shared" si="7"/>
        <v>#REF!</v>
      </c>
      <c r="R18" s="352" t="e">
        <f t="shared" ref="R18:T18" si="12">R19</f>
        <v>#REF!</v>
      </c>
      <c r="S18" s="352" t="e">
        <f t="shared" si="4"/>
        <v>#REF!</v>
      </c>
      <c r="T18" s="352" t="e">
        <f t="shared" si="12"/>
        <v>#REF!</v>
      </c>
      <c r="U18" s="352" t="e">
        <f t="shared" si="5"/>
        <v>#REF!</v>
      </c>
      <c r="V18" s="337" t="e">
        <f t="shared" si="2"/>
        <v>#REF!</v>
      </c>
    </row>
    <row r="19" spans="1:23" ht="24.95" customHeight="1" outlineLevel="1" x14ac:dyDescent="0.2">
      <c r="A19" s="338" t="s">
        <v>198</v>
      </c>
      <c r="B19" s="335" t="e">
        <f t="shared" si="11"/>
        <v>#REF!</v>
      </c>
      <c r="C19" s="335">
        <f t="shared" si="6"/>
        <v>0</v>
      </c>
      <c r="D19" s="426"/>
      <c r="E19" s="426"/>
      <c r="F19" s="426"/>
      <c r="G19" s="426"/>
      <c r="H19" s="411"/>
      <c r="I19" s="411"/>
      <c r="J19" s="411"/>
      <c r="K19" s="411"/>
      <c r="L19" s="397"/>
      <c r="M19" s="397"/>
      <c r="N19" s="397"/>
      <c r="O19" s="397"/>
      <c r="P19" s="352" t="e">
        <f>SUM(P20:P21)</f>
        <v>#REF!</v>
      </c>
      <c r="Q19" s="352" t="e">
        <f t="shared" si="7"/>
        <v>#REF!</v>
      </c>
      <c r="R19" s="352" t="e">
        <f t="shared" ref="R19:T19" si="13">SUM(R20:R21)</f>
        <v>#REF!</v>
      </c>
      <c r="S19" s="352" t="e">
        <f t="shared" si="4"/>
        <v>#REF!</v>
      </c>
      <c r="T19" s="352" t="e">
        <f t="shared" si="13"/>
        <v>#REF!</v>
      </c>
      <c r="U19" s="352" t="e">
        <f t="shared" si="5"/>
        <v>#REF!</v>
      </c>
      <c r="V19" s="337" t="e">
        <f t="shared" si="2"/>
        <v>#REF!</v>
      </c>
    </row>
    <row r="20" spans="1:23" ht="24.95" customHeight="1" outlineLevel="1" x14ac:dyDescent="0.2">
      <c r="A20" s="285" t="s">
        <v>48</v>
      </c>
      <c r="B20" s="339" t="e">
        <f t="shared" si="11"/>
        <v>#REF!</v>
      </c>
      <c r="C20" s="339" t="e">
        <f t="shared" si="6"/>
        <v>#REF!</v>
      </c>
      <c r="D20" s="427"/>
      <c r="E20" s="427"/>
      <c r="F20" s="427" t="e">
        <f>P20</f>
        <v>#REF!</v>
      </c>
      <c r="G20" s="427"/>
      <c r="H20" s="412"/>
      <c r="I20" s="412"/>
      <c r="J20" s="412"/>
      <c r="K20" s="412" t="e">
        <f>R20</f>
        <v>#REF!</v>
      </c>
      <c r="L20" s="398"/>
      <c r="M20" s="398"/>
      <c r="N20" s="398"/>
      <c r="O20" s="398" t="e">
        <f>T20</f>
        <v>#REF!</v>
      </c>
      <c r="P20" s="353" t="e">
        <f>'สงม. 2 ทะเบียน'!#REF!</f>
        <v>#REF!</v>
      </c>
      <c r="Q20" s="353" t="e">
        <f t="shared" si="7"/>
        <v>#REF!</v>
      </c>
      <c r="R20" s="353" t="e">
        <f>'สงม. 2 ทะเบียน'!#REF!</f>
        <v>#REF!</v>
      </c>
      <c r="S20" s="353" t="e">
        <f t="shared" si="4"/>
        <v>#REF!</v>
      </c>
      <c r="T20" s="353" t="e">
        <f>'สงม. 2 ทะเบียน'!#REF!</f>
        <v>#REF!</v>
      </c>
      <c r="U20" s="353" t="e">
        <f t="shared" si="5"/>
        <v>#REF!</v>
      </c>
      <c r="V20" s="337" t="e">
        <f t="shared" si="2"/>
        <v>#REF!</v>
      </c>
      <c r="W20" s="287">
        <f>'สงม.1 (แยกฝ่าย)'!C55+'สงม.1 (แยกฝ่าย)'!D55+'สงม.1 (แยกฝ่าย)'!E55</f>
        <v>1301000</v>
      </c>
    </row>
    <row r="21" spans="1:23" ht="24.95" customHeight="1" outlineLevel="1" x14ac:dyDescent="0.2">
      <c r="A21" s="285" t="s">
        <v>49</v>
      </c>
      <c r="B21" s="339">
        <f t="shared" si="11"/>
        <v>1301000</v>
      </c>
      <c r="C21" s="339">
        <f t="shared" si="6"/>
        <v>934100</v>
      </c>
      <c r="D21" s="427">
        <f>P21/4</f>
        <v>247477.5</v>
      </c>
      <c r="E21" s="427">
        <v>120105</v>
      </c>
      <c r="F21" s="427">
        <v>120105</v>
      </c>
      <c r="G21" s="427">
        <v>120105</v>
      </c>
      <c r="H21" s="412">
        <f>R21/4</f>
        <v>42630</v>
      </c>
      <c r="I21" s="412">
        <v>46885</v>
      </c>
      <c r="J21" s="412">
        <v>46885</v>
      </c>
      <c r="K21" s="412">
        <v>46885</v>
      </c>
      <c r="L21" s="398">
        <f t="shared" ref="L21" si="14">T21/4</f>
        <v>35142.5</v>
      </c>
      <c r="M21" s="398">
        <v>35960</v>
      </c>
      <c r="N21" s="398">
        <v>35960</v>
      </c>
      <c r="O21" s="398">
        <v>35960</v>
      </c>
      <c r="P21" s="353">
        <f>'สงม. 2 ทะเบียน'!D11</f>
        <v>989910</v>
      </c>
      <c r="Q21" s="353">
        <f t="shared" si="7"/>
        <v>-382117.5</v>
      </c>
      <c r="R21" s="353">
        <f>'สงม. 2 ทะเบียน'!E11</f>
        <v>170520</v>
      </c>
      <c r="S21" s="353">
        <f t="shared" si="4"/>
        <v>12765</v>
      </c>
      <c r="T21" s="353">
        <f>'สงม. 2 ทะเบียน'!F11</f>
        <v>140570</v>
      </c>
      <c r="U21" s="353">
        <f t="shared" si="5"/>
        <v>2452.5</v>
      </c>
      <c r="V21" s="337">
        <f t="shared" si="2"/>
        <v>-366900</v>
      </c>
      <c r="W21" s="287" t="e">
        <f>P18+R18+T18</f>
        <v>#REF!</v>
      </c>
    </row>
    <row r="22" spans="1:23" ht="24.95" customHeight="1" outlineLevel="1" x14ac:dyDescent="0.2">
      <c r="A22" s="334" t="s">
        <v>179</v>
      </c>
      <c r="B22" s="335"/>
      <c r="C22" s="335">
        <f t="shared" si="6"/>
        <v>0</v>
      </c>
      <c r="D22" s="426"/>
      <c r="E22" s="426"/>
      <c r="F22" s="426"/>
      <c r="G22" s="426"/>
      <c r="H22" s="411"/>
      <c r="I22" s="411"/>
      <c r="J22" s="411"/>
      <c r="K22" s="411"/>
      <c r="L22" s="397"/>
      <c r="M22" s="397"/>
      <c r="N22" s="397"/>
      <c r="O22" s="397"/>
      <c r="P22" s="352"/>
      <c r="Q22" s="352">
        <f t="shared" si="7"/>
        <v>0</v>
      </c>
      <c r="R22" s="352"/>
      <c r="S22" s="352">
        <f t="shared" si="4"/>
        <v>0</v>
      </c>
      <c r="T22" s="352"/>
      <c r="U22" s="352">
        <f t="shared" si="5"/>
        <v>0</v>
      </c>
      <c r="V22" s="337">
        <f t="shared" si="2"/>
        <v>0</v>
      </c>
      <c r="W22" s="287"/>
    </row>
    <row r="23" spans="1:23" s="240" customFormat="1" ht="24.95" customHeight="1" outlineLevel="1" x14ac:dyDescent="0.2">
      <c r="A23" s="336" t="s">
        <v>194</v>
      </c>
      <c r="B23" s="335" t="e">
        <f t="shared" ref="B23:B26" si="15">P23+R23+T23</f>
        <v>#REF!</v>
      </c>
      <c r="C23" s="335">
        <f t="shared" si="6"/>
        <v>0</v>
      </c>
      <c r="D23" s="426"/>
      <c r="E23" s="426"/>
      <c r="F23" s="426"/>
      <c r="G23" s="426"/>
      <c r="H23" s="411"/>
      <c r="I23" s="411"/>
      <c r="J23" s="411"/>
      <c r="K23" s="411"/>
      <c r="L23" s="397"/>
      <c r="M23" s="397"/>
      <c r="N23" s="397"/>
      <c r="O23" s="397"/>
      <c r="P23" s="352" t="e">
        <f>P24</f>
        <v>#REF!</v>
      </c>
      <c r="Q23" s="352" t="e">
        <f t="shared" si="7"/>
        <v>#REF!</v>
      </c>
      <c r="R23" s="352" t="e">
        <f t="shared" ref="R23:T23" si="16">R24</f>
        <v>#REF!</v>
      </c>
      <c r="S23" s="352" t="e">
        <f t="shared" si="4"/>
        <v>#REF!</v>
      </c>
      <c r="T23" s="352" t="e">
        <f t="shared" si="16"/>
        <v>#REF!</v>
      </c>
      <c r="U23" s="352" t="e">
        <f t="shared" si="5"/>
        <v>#REF!</v>
      </c>
      <c r="V23" s="337" t="e">
        <f t="shared" si="2"/>
        <v>#REF!</v>
      </c>
    </row>
    <row r="24" spans="1:23" ht="24.95" customHeight="1" outlineLevel="1" x14ac:dyDescent="0.2">
      <c r="A24" s="338" t="s">
        <v>199</v>
      </c>
      <c r="B24" s="335" t="e">
        <f t="shared" si="15"/>
        <v>#REF!</v>
      </c>
      <c r="C24" s="335">
        <f t="shared" si="6"/>
        <v>0</v>
      </c>
      <c r="D24" s="426"/>
      <c r="E24" s="426"/>
      <c r="F24" s="426"/>
      <c r="G24" s="426"/>
      <c r="H24" s="411"/>
      <c r="I24" s="411"/>
      <c r="J24" s="411"/>
      <c r="K24" s="411"/>
      <c r="L24" s="397"/>
      <c r="M24" s="397"/>
      <c r="N24" s="397"/>
      <c r="O24" s="397"/>
      <c r="P24" s="352" t="e">
        <f>SUM(P25:P26)</f>
        <v>#REF!</v>
      </c>
      <c r="Q24" s="352" t="e">
        <f t="shared" si="7"/>
        <v>#REF!</v>
      </c>
      <c r="R24" s="352" t="e">
        <f t="shared" ref="R24:T24" si="17">SUM(R25:R26)</f>
        <v>#REF!</v>
      </c>
      <c r="S24" s="352" t="e">
        <f t="shared" si="4"/>
        <v>#REF!</v>
      </c>
      <c r="T24" s="352" t="e">
        <f t="shared" si="17"/>
        <v>#REF!</v>
      </c>
      <c r="U24" s="352" t="e">
        <f t="shared" si="5"/>
        <v>#REF!</v>
      </c>
      <c r="V24" s="337" t="e">
        <f t="shared" si="2"/>
        <v>#REF!</v>
      </c>
    </row>
    <row r="25" spans="1:23" ht="24.95" customHeight="1" x14ac:dyDescent="0.2">
      <c r="A25" s="285" t="s">
        <v>48</v>
      </c>
      <c r="B25" s="339" t="e">
        <f t="shared" si="15"/>
        <v>#REF!</v>
      </c>
      <c r="C25" s="339" t="e">
        <f t="shared" si="6"/>
        <v>#REF!</v>
      </c>
      <c r="D25" s="427"/>
      <c r="E25" s="427"/>
      <c r="F25" s="427" t="e">
        <f>P25</f>
        <v>#REF!</v>
      </c>
      <c r="G25" s="427"/>
      <c r="H25" s="412"/>
      <c r="I25" s="412"/>
      <c r="J25" s="412"/>
      <c r="K25" s="412" t="e">
        <f>R25</f>
        <v>#REF!</v>
      </c>
      <c r="L25" s="398"/>
      <c r="M25" s="398"/>
      <c r="N25" s="398"/>
      <c r="O25" s="398" t="e">
        <f>T25</f>
        <v>#REF!</v>
      </c>
      <c r="P25" s="353" t="e">
        <f>'สงม. 2 คลัง'!#REF!</f>
        <v>#REF!</v>
      </c>
      <c r="Q25" s="353" t="e">
        <f t="shared" si="7"/>
        <v>#REF!</v>
      </c>
      <c r="R25" s="353" t="e">
        <f>'สงม. 2 คลัง'!#REF!</f>
        <v>#REF!</v>
      </c>
      <c r="S25" s="353" t="e">
        <f t="shared" si="4"/>
        <v>#REF!</v>
      </c>
      <c r="T25" s="353" t="e">
        <f>'สงม. 2 คลัง'!#REF!</f>
        <v>#REF!</v>
      </c>
      <c r="U25" s="353" t="e">
        <f t="shared" si="5"/>
        <v>#REF!</v>
      </c>
      <c r="V25" s="337" t="e">
        <f t="shared" si="2"/>
        <v>#REF!</v>
      </c>
      <c r="W25" s="287">
        <f>'สงม.1 (แยกฝ่าย)'!C77+'สงม.1 (แยกฝ่าย)'!D77+'สงม.1 (แยกฝ่าย)'!E77</f>
        <v>829700</v>
      </c>
    </row>
    <row r="26" spans="1:23" ht="24.95" customHeight="1" x14ac:dyDescent="0.2">
      <c r="A26" s="285" t="s">
        <v>49</v>
      </c>
      <c r="B26" s="339">
        <f t="shared" si="15"/>
        <v>829700</v>
      </c>
      <c r="C26" s="339">
        <f t="shared" si="6"/>
        <v>787175</v>
      </c>
      <c r="D26" s="427">
        <f>P26/4</f>
        <v>145575</v>
      </c>
      <c r="E26" s="427">
        <v>98782.5</v>
      </c>
      <c r="F26" s="427">
        <v>98782.5</v>
      </c>
      <c r="G26" s="427">
        <v>98782.5</v>
      </c>
      <c r="H26" s="412">
        <f>R26/4</f>
        <v>20000</v>
      </c>
      <c r="I26" s="412">
        <v>27160</v>
      </c>
      <c r="J26" s="412">
        <v>27160</v>
      </c>
      <c r="K26" s="412">
        <v>27160</v>
      </c>
      <c r="L26" s="398">
        <f t="shared" ref="L26" si="18">T26/4</f>
        <v>41850</v>
      </c>
      <c r="M26" s="398">
        <v>67307.5</v>
      </c>
      <c r="N26" s="398">
        <v>67307.5</v>
      </c>
      <c r="O26" s="398">
        <v>67307.5</v>
      </c>
      <c r="P26" s="353">
        <f>'สงม. 2 คลัง'!D11</f>
        <v>582300</v>
      </c>
      <c r="Q26" s="353">
        <f t="shared" si="7"/>
        <v>-140377.5</v>
      </c>
      <c r="R26" s="353">
        <f>'สงม. 2 คลัง'!E11</f>
        <v>80000</v>
      </c>
      <c r="S26" s="353">
        <f t="shared" si="4"/>
        <v>21480</v>
      </c>
      <c r="T26" s="353">
        <f>'สงม. 2 คลัง'!F11</f>
        <v>167400</v>
      </c>
      <c r="U26" s="353">
        <f t="shared" si="5"/>
        <v>76372.5</v>
      </c>
      <c r="V26" s="337">
        <f t="shared" si="2"/>
        <v>-42525</v>
      </c>
      <c r="W26" s="287" t="e">
        <f>P23+R23+T23</f>
        <v>#REF!</v>
      </c>
    </row>
    <row r="27" spans="1:23" ht="24.95" customHeight="1" x14ac:dyDescent="0.2">
      <c r="A27" s="334" t="s">
        <v>180</v>
      </c>
      <c r="B27" s="335"/>
      <c r="C27" s="335">
        <f t="shared" si="6"/>
        <v>0</v>
      </c>
      <c r="D27" s="426"/>
      <c r="E27" s="426"/>
      <c r="F27" s="426"/>
      <c r="G27" s="426"/>
      <c r="H27" s="411"/>
      <c r="I27" s="411"/>
      <c r="J27" s="411"/>
      <c r="K27" s="411"/>
      <c r="L27" s="397"/>
      <c r="M27" s="397"/>
      <c r="N27" s="397"/>
      <c r="O27" s="397"/>
      <c r="P27" s="352"/>
      <c r="Q27" s="352">
        <f t="shared" si="7"/>
        <v>0</v>
      </c>
      <c r="R27" s="352"/>
      <c r="S27" s="352">
        <f t="shared" si="4"/>
        <v>0</v>
      </c>
      <c r="T27" s="352"/>
      <c r="U27" s="352">
        <f t="shared" si="5"/>
        <v>0</v>
      </c>
      <c r="V27" s="337">
        <f t="shared" si="2"/>
        <v>0</v>
      </c>
    </row>
    <row r="28" spans="1:23" ht="24.95" customHeight="1" x14ac:dyDescent="0.2">
      <c r="A28" s="336" t="s">
        <v>194</v>
      </c>
      <c r="B28" s="335" t="e">
        <f>P28+R28+T28</f>
        <v>#REF!</v>
      </c>
      <c r="C28" s="335">
        <f t="shared" si="6"/>
        <v>0</v>
      </c>
      <c r="D28" s="426"/>
      <c r="E28" s="426"/>
      <c r="F28" s="426"/>
      <c r="G28" s="426"/>
      <c r="H28" s="411"/>
      <c r="I28" s="411"/>
      <c r="J28" s="411"/>
      <c r="K28" s="411"/>
      <c r="L28" s="397"/>
      <c r="M28" s="397"/>
      <c r="N28" s="397"/>
      <c r="O28" s="397"/>
      <c r="P28" s="352" t="e">
        <f>P29</f>
        <v>#REF!</v>
      </c>
      <c r="Q28" s="352" t="e">
        <f t="shared" si="7"/>
        <v>#REF!</v>
      </c>
      <c r="R28" s="352" t="e">
        <f t="shared" ref="R28:T28" si="19">R29</f>
        <v>#REF!</v>
      </c>
      <c r="S28" s="352" t="e">
        <f t="shared" si="4"/>
        <v>#REF!</v>
      </c>
      <c r="T28" s="352" t="e">
        <f t="shared" si="19"/>
        <v>#REF!</v>
      </c>
      <c r="U28" s="352" t="e">
        <f t="shared" si="5"/>
        <v>#REF!</v>
      </c>
      <c r="V28" s="337" t="e">
        <f t="shared" si="2"/>
        <v>#REF!</v>
      </c>
    </row>
    <row r="29" spans="1:23" ht="24.95" customHeight="1" x14ac:dyDescent="0.2">
      <c r="A29" s="338" t="s">
        <v>200</v>
      </c>
      <c r="B29" s="335" t="e">
        <f>P29+R29+T29</f>
        <v>#REF!</v>
      </c>
      <c r="C29" s="335">
        <f t="shared" si="6"/>
        <v>0</v>
      </c>
      <c r="D29" s="426"/>
      <c r="E29" s="426"/>
      <c r="F29" s="426"/>
      <c r="G29" s="426"/>
      <c r="H29" s="411"/>
      <c r="I29" s="411"/>
      <c r="J29" s="411"/>
      <c r="K29" s="411"/>
      <c r="L29" s="397"/>
      <c r="M29" s="397"/>
      <c r="N29" s="397"/>
      <c r="O29" s="397"/>
      <c r="P29" s="352" t="e">
        <f>SUM(P30:P31)</f>
        <v>#REF!</v>
      </c>
      <c r="Q29" s="352" t="e">
        <f t="shared" si="7"/>
        <v>#REF!</v>
      </c>
      <c r="R29" s="352" t="e">
        <f t="shared" ref="R29:T29" si="20">SUM(R30:R31)</f>
        <v>#REF!</v>
      </c>
      <c r="S29" s="352" t="e">
        <f t="shared" si="4"/>
        <v>#REF!</v>
      </c>
      <c r="T29" s="352" t="e">
        <f t="shared" si="20"/>
        <v>#REF!</v>
      </c>
      <c r="U29" s="352" t="e">
        <f t="shared" si="5"/>
        <v>#REF!</v>
      </c>
      <c r="V29" s="337" t="e">
        <f t="shared" si="2"/>
        <v>#REF!</v>
      </c>
    </row>
    <row r="30" spans="1:23" ht="24.95" customHeight="1" x14ac:dyDescent="0.2">
      <c r="A30" s="285" t="s">
        <v>48</v>
      </c>
      <c r="B30" s="339" t="e">
        <f t="shared" ref="B30:B31" si="21">P30+R30+T30</f>
        <v>#REF!</v>
      </c>
      <c r="C30" s="339" t="e">
        <f t="shared" si="6"/>
        <v>#REF!</v>
      </c>
      <c r="D30" s="427"/>
      <c r="E30" s="427"/>
      <c r="F30" s="427" t="e">
        <f>P30</f>
        <v>#REF!</v>
      </c>
      <c r="G30" s="427"/>
      <c r="H30" s="412"/>
      <c r="I30" s="412"/>
      <c r="J30" s="412"/>
      <c r="K30" s="412" t="e">
        <f>R30</f>
        <v>#REF!</v>
      </c>
      <c r="L30" s="398"/>
      <c r="M30" s="398"/>
      <c r="N30" s="398"/>
      <c r="O30" s="398" t="e">
        <f>T30</f>
        <v>#REF!</v>
      </c>
      <c r="P30" s="353" t="e">
        <f>'สงม. 2 รายได้'!#REF!</f>
        <v>#REF!</v>
      </c>
      <c r="Q30" s="353" t="e">
        <f t="shared" si="7"/>
        <v>#REF!</v>
      </c>
      <c r="R30" s="353" t="e">
        <f>'สงม. 2 รายได้'!#REF!</f>
        <v>#REF!</v>
      </c>
      <c r="S30" s="353" t="e">
        <f t="shared" si="4"/>
        <v>#REF!</v>
      </c>
      <c r="T30" s="353" t="e">
        <f>'สงม. 2 รายได้'!#REF!</f>
        <v>#REF!</v>
      </c>
      <c r="U30" s="353" t="e">
        <f t="shared" si="5"/>
        <v>#REF!</v>
      </c>
      <c r="V30" s="337" t="e">
        <f t="shared" si="2"/>
        <v>#REF!</v>
      </c>
      <c r="W30" s="287">
        <f>'สงม.1 (แยกฝ่าย)'!C99+'สงม.1 (แยกฝ่าย)'!D99+'สงม.1 (แยกฝ่าย)'!E99</f>
        <v>947400</v>
      </c>
    </row>
    <row r="31" spans="1:23" ht="24.95" customHeight="1" x14ac:dyDescent="0.2">
      <c r="A31" s="285" t="s">
        <v>49</v>
      </c>
      <c r="B31" s="339">
        <f t="shared" si="21"/>
        <v>947400</v>
      </c>
      <c r="C31" s="339">
        <f t="shared" si="6"/>
        <v>571575</v>
      </c>
      <c r="D31" s="427">
        <f>P31/4</f>
        <v>202300</v>
      </c>
      <c r="E31" s="427">
        <v>80087.5</v>
      </c>
      <c r="F31" s="427">
        <v>80087.5</v>
      </c>
      <c r="G31" s="427">
        <v>80087.5</v>
      </c>
      <c r="H31" s="412">
        <f>R31/4</f>
        <v>34550</v>
      </c>
      <c r="I31" s="412">
        <v>31487.5</v>
      </c>
      <c r="J31" s="412">
        <v>31487.5</v>
      </c>
      <c r="K31" s="412">
        <v>31487.5</v>
      </c>
      <c r="L31" s="398">
        <f t="shared" ref="L31" si="22">T31/4</f>
        <v>0</v>
      </c>
      <c r="M31" s="398">
        <v>0</v>
      </c>
      <c r="N31" s="398">
        <v>0</v>
      </c>
      <c r="O31" s="398">
        <v>0</v>
      </c>
      <c r="P31" s="353">
        <f>'สงม. 2 รายได้'!D11</f>
        <v>809200</v>
      </c>
      <c r="Q31" s="353">
        <f t="shared" si="7"/>
        <v>-366637.5</v>
      </c>
      <c r="R31" s="353">
        <f>'สงม. 2 รายได้'!E11</f>
        <v>138200</v>
      </c>
      <c r="S31" s="353">
        <f t="shared" si="4"/>
        <v>-9187.5</v>
      </c>
      <c r="T31" s="353">
        <f>'สงม. 2 รายได้'!F11</f>
        <v>0</v>
      </c>
      <c r="U31" s="353">
        <f t="shared" si="5"/>
        <v>0</v>
      </c>
      <c r="V31" s="337">
        <f t="shared" si="2"/>
        <v>-375825</v>
      </c>
      <c r="W31" s="287">
        <f>P31+R31+T31</f>
        <v>947400</v>
      </c>
    </row>
    <row r="32" spans="1:23" x14ac:dyDescent="0.2">
      <c r="A32" s="298"/>
      <c r="B32" s="299"/>
      <c r="C32" s="299"/>
      <c r="D32" s="428"/>
      <c r="E32" s="428"/>
      <c r="F32" s="428"/>
      <c r="G32" s="428"/>
      <c r="H32" s="413"/>
      <c r="I32" s="413"/>
      <c r="J32" s="413"/>
      <c r="K32" s="413"/>
      <c r="L32" s="399"/>
      <c r="M32" s="399"/>
      <c r="N32" s="399"/>
      <c r="O32" s="399"/>
      <c r="P32" s="355"/>
      <c r="Q32" s="355">
        <f t="shared" si="7"/>
        <v>0</v>
      </c>
      <c r="R32" s="355"/>
      <c r="S32" s="355">
        <f t="shared" si="4"/>
        <v>0</v>
      </c>
      <c r="T32" s="355"/>
      <c r="U32" s="355">
        <f t="shared" si="5"/>
        <v>0</v>
      </c>
      <c r="V32" s="337">
        <f t="shared" si="2"/>
        <v>0</v>
      </c>
    </row>
    <row r="33" spans="1:22" x14ac:dyDescent="0.2">
      <c r="A33" s="298"/>
      <c r="B33" s="299"/>
      <c r="C33" s="299"/>
      <c r="D33" s="428"/>
      <c r="E33" s="428"/>
      <c r="F33" s="428"/>
      <c r="G33" s="428"/>
      <c r="H33" s="413"/>
      <c r="I33" s="413"/>
      <c r="J33" s="413"/>
      <c r="K33" s="413"/>
      <c r="L33" s="399"/>
      <c r="M33" s="399"/>
      <c r="N33" s="399"/>
      <c r="O33" s="399"/>
      <c r="P33" s="355"/>
      <c r="Q33" s="355">
        <f t="shared" si="7"/>
        <v>0</v>
      </c>
      <c r="R33" s="355"/>
      <c r="S33" s="355">
        <f t="shared" si="4"/>
        <v>0</v>
      </c>
      <c r="T33" s="355"/>
      <c r="U33" s="355">
        <f t="shared" si="5"/>
        <v>0</v>
      </c>
      <c r="V33" s="337">
        <f t="shared" si="2"/>
        <v>0</v>
      </c>
    </row>
    <row r="34" spans="1:22" x14ac:dyDescent="0.2">
      <c r="A34" s="298"/>
      <c r="B34" s="299"/>
      <c r="C34" s="299"/>
      <c r="D34" s="428"/>
      <c r="E34" s="428"/>
      <c r="F34" s="428"/>
      <c r="G34" s="428"/>
      <c r="H34" s="413"/>
      <c r="I34" s="413"/>
      <c r="J34" s="413"/>
      <c r="K34" s="413"/>
      <c r="L34" s="399"/>
      <c r="M34" s="399"/>
      <c r="N34" s="399"/>
      <c r="O34" s="399"/>
      <c r="P34" s="355"/>
      <c r="Q34" s="355">
        <f t="shared" si="7"/>
        <v>0</v>
      </c>
      <c r="R34" s="355"/>
      <c r="S34" s="355">
        <f t="shared" si="4"/>
        <v>0</v>
      </c>
      <c r="T34" s="355"/>
      <c r="U34" s="355">
        <f t="shared" si="5"/>
        <v>0</v>
      </c>
      <c r="V34" s="337">
        <f t="shared" si="2"/>
        <v>0</v>
      </c>
    </row>
    <row r="35" spans="1:22" x14ac:dyDescent="0.2">
      <c r="A35" s="298"/>
      <c r="B35" s="299"/>
      <c r="C35" s="299"/>
      <c r="D35" s="428"/>
      <c r="E35" s="428"/>
      <c r="F35" s="428"/>
      <c r="G35" s="428"/>
      <c r="H35" s="413"/>
      <c r="I35" s="413"/>
      <c r="J35" s="413"/>
      <c r="K35" s="413"/>
      <c r="L35" s="399"/>
      <c r="M35" s="399"/>
      <c r="N35" s="399"/>
      <c r="O35" s="399"/>
      <c r="P35" s="355"/>
      <c r="Q35" s="355">
        <f t="shared" si="7"/>
        <v>0</v>
      </c>
      <c r="R35" s="355"/>
      <c r="S35" s="355">
        <f t="shared" si="4"/>
        <v>0</v>
      </c>
      <c r="T35" s="355"/>
      <c r="U35" s="355">
        <f t="shared" si="5"/>
        <v>0</v>
      </c>
      <c r="V35" s="337">
        <f t="shared" si="2"/>
        <v>0</v>
      </c>
    </row>
    <row r="36" spans="1:22" x14ac:dyDescent="0.2">
      <c r="A36" s="298"/>
      <c r="B36" s="299"/>
      <c r="C36" s="299"/>
      <c r="D36" s="428"/>
      <c r="E36" s="428"/>
      <c r="F36" s="428"/>
      <c r="G36" s="428"/>
      <c r="H36" s="413"/>
      <c r="I36" s="413"/>
      <c r="J36" s="413"/>
      <c r="K36" s="413"/>
      <c r="L36" s="399"/>
      <c r="M36" s="399"/>
      <c r="N36" s="399"/>
      <c r="O36" s="399"/>
      <c r="P36" s="355"/>
      <c r="Q36" s="355">
        <f t="shared" si="7"/>
        <v>0</v>
      </c>
      <c r="R36" s="355"/>
      <c r="S36" s="355">
        <f t="shared" si="4"/>
        <v>0</v>
      </c>
      <c r="T36" s="355"/>
      <c r="U36" s="355">
        <f t="shared" si="5"/>
        <v>0</v>
      </c>
      <c r="V36" s="337">
        <f t="shared" si="2"/>
        <v>0</v>
      </c>
    </row>
    <row r="37" spans="1:22" x14ac:dyDescent="0.2">
      <c r="A37" s="298"/>
      <c r="B37" s="299"/>
      <c r="C37" s="299"/>
      <c r="D37" s="428"/>
      <c r="E37" s="428"/>
      <c r="F37" s="428"/>
      <c r="G37" s="428"/>
      <c r="H37" s="413"/>
      <c r="I37" s="413"/>
      <c r="J37" s="413"/>
      <c r="K37" s="413"/>
      <c r="L37" s="399"/>
      <c r="M37" s="399"/>
      <c r="N37" s="399"/>
      <c r="O37" s="399"/>
      <c r="P37" s="355"/>
      <c r="Q37" s="355">
        <f t="shared" si="7"/>
        <v>0</v>
      </c>
      <c r="R37" s="355"/>
      <c r="S37" s="355">
        <f t="shared" si="4"/>
        <v>0</v>
      </c>
      <c r="T37" s="355"/>
      <c r="U37" s="355">
        <f t="shared" si="5"/>
        <v>0</v>
      </c>
      <c r="V37" s="337">
        <f t="shared" si="2"/>
        <v>0</v>
      </c>
    </row>
    <row r="38" spans="1:22" x14ac:dyDescent="0.2">
      <c r="A38" s="298"/>
      <c r="B38" s="299"/>
      <c r="C38" s="299"/>
      <c r="D38" s="428"/>
      <c r="E38" s="428"/>
      <c r="F38" s="428"/>
      <c r="G38" s="428"/>
      <c r="H38" s="413"/>
      <c r="I38" s="413"/>
      <c r="J38" s="413"/>
      <c r="K38" s="413"/>
      <c r="L38" s="399"/>
      <c r="M38" s="399"/>
      <c r="N38" s="399"/>
      <c r="O38" s="399"/>
      <c r="P38" s="355"/>
      <c r="Q38" s="355">
        <f t="shared" si="7"/>
        <v>0</v>
      </c>
      <c r="R38" s="355"/>
      <c r="S38" s="355">
        <f t="shared" si="4"/>
        <v>0</v>
      </c>
      <c r="T38" s="356" t="s">
        <v>232</v>
      </c>
      <c r="U38" s="355" t="e">
        <f t="shared" si="5"/>
        <v>#VALUE!</v>
      </c>
      <c r="V38" s="337">
        <f t="shared" si="2"/>
        <v>0</v>
      </c>
    </row>
    <row r="39" spans="1:22" ht="24.95" customHeight="1" x14ac:dyDescent="0.25">
      <c r="A39" s="122"/>
      <c r="B39" s="122"/>
      <c r="C39" s="122"/>
      <c r="D39" s="424"/>
      <c r="E39" s="424"/>
      <c r="F39" s="424"/>
      <c r="G39" s="424"/>
      <c r="H39" s="409"/>
      <c r="I39" s="409"/>
      <c r="J39" s="409"/>
      <c r="K39" s="409"/>
      <c r="L39" s="395"/>
      <c r="M39" s="395"/>
      <c r="N39" s="395"/>
      <c r="O39" s="395"/>
      <c r="P39" s="349"/>
      <c r="Q39" s="349">
        <f t="shared" si="7"/>
        <v>0</v>
      </c>
      <c r="R39" s="349"/>
      <c r="S39" s="349">
        <f t="shared" si="4"/>
        <v>0</v>
      </c>
      <c r="T39" s="350" t="s">
        <v>28</v>
      </c>
      <c r="U39" s="349" t="e">
        <f t="shared" si="5"/>
        <v>#VALUE!</v>
      </c>
      <c r="V39" s="337">
        <f t="shared" si="2"/>
        <v>0</v>
      </c>
    </row>
    <row r="40" spans="1:22" ht="24.95" customHeight="1" x14ac:dyDescent="0.2">
      <c r="A40" s="671" t="s">
        <v>190</v>
      </c>
      <c r="B40" s="239" t="s">
        <v>1</v>
      </c>
      <c r="C40" s="239"/>
      <c r="D40" s="332">
        <v>23651</v>
      </c>
      <c r="E40" s="332">
        <v>23682</v>
      </c>
      <c r="F40" s="332">
        <v>23712</v>
      </c>
      <c r="G40" s="332">
        <v>23743</v>
      </c>
      <c r="H40" s="333">
        <v>23774</v>
      </c>
      <c r="I40" s="333">
        <v>23802</v>
      </c>
      <c r="J40" s="333">
        <v>23833</v>
      </c>
      <c r="K40" s="333">
        <v>23863</v>
      </c>
      <c r="L40" s="376">
        <v>23894</v>
      </c>
      <c r="M40" s="376">
        <v>23924</v>
      </c>
      <c r="N40" s="376">
        <v>23955</v>
      </c>
      <c r="O40" s="376">
        <v>23986</v>
      </c>
      <c r="P40" s="351" t="s">
        <v>191</v>
      </c>
      <c r="Q40" s="351" t="e">
        <f t="shared" si="7"/>
        <v>#VALUE!</v>
      </c>
      <c r="R40" s="351" t="s">
        <v>192</v>
      </c>
      <c r="S40" s="351" t="e">
        <f t="shared" si="4"/>
        <v>#VALUE!</v>
      </c>
      <c r="T40" s="351" t="s">
        <v>193</v>
      </c>
      <c r="U40" s="351" t="e">
        <f t="shared" si="5"/>
        <v>#VALUE!</v>
      </c>
      <c r="V40" s="337" t="e">
        <f t="shared" si="2"/>
        <v>#VALUE!</v>
      </c>
    </row>
    <row r="41" spans="1:22" s="240" customFormat="1" ht="24.95" customHeight="1" x14ac:dyDescent="0.2">
      <c r="A41" s="671"/>
      <c r="B41" s="239" t="s">
        <v>2</v>
      </c>
      <c r="C41" s="239"/>
      <c r="D41" s="425"/>
      <c r="E41" s="425"/>
      <c r="F41" s="425"/>
      <c r="G41" s="425"/>
      <c r="H41" s="410"/>
      <c r="I41" s="410"/>
      <c r="J41" s="410"/>
      <c r="K41" s="410"/>
      <c r="L41" s="396"/>
      <c r="M41" s="396"/>
      <c r="N41" s="396"/>
      <c r="O41" s="396"/>
      <c r="P41" s="351" t="s">
        <v>2</v>
      </c>
      <c r="Q41" s="351" t="e">
        <f t="shared" si="7"/>
        <v>#VALUE!</v>
      </c>
      <c r="R41" s="351" t="s">
        <v>2</v>
      </c>
      <c r="S41" s="351" t="e">
        <f t="shared" si="4"/>
        <v>#VALUE!</v>
      </c>
      <c r="T41" s="351" t="s">
        <v>2</v>
      </c>
      <c r="U41" s="351" t="e">
        <f t="shared" si="5"/>
        <v>#VALUE!</v>
      </c>
      <c r="V41" s="337" t="e">
        <f t="shared" si="2"/>
        <v>#VALUE!</v>
      </c>
    </row>
    <row r="42" spans="1:22" ht="24.95" customHeight="1" x14ac:dyDescent="0.2">
      <c r="A42" s="340" t="s">
        <v>185</v>
      </c>
      <c r="B42" s="341"/>
      <c r="C42" s="341"/>
      <c r="D42" s="429"/>
      <c r="E42" s="429"/>
      <c r="F42" s="429"/>
      <c r="G42" s="429"/>
      <c r="H42" s="414"/>
      <c r="I42" s="414"/>
      <c r="J42" s="414"/>
      <c r="K42" s="414"/>
      <c r="L42" s="400"/>
      <c r="M42" s="400"/>
      <c r="N42" s="400"/>
      <c r="O42" s="400"/>
      <c r="P42" s="357"/>
      <c r="Q42" s="357">
        <f t="shared" si="7"/>
        <v>0</v>
      </c>
      <c r="R42" s="357"/>
      <c r="S42" s="357">
        <f t="shared" si="4"/>
        <v>0</v>
      </c>
      <c r="T42" s="357"/>
      <c r="U42" s="357">
        <f t="shared" si="5"/>
        <v>0</v>
      </c>
      <c r="V42" s="337">
        <f t="shared" si="2"/>
        <v>0</v>
      </c>
    </row>
    <row r="43" spans="1:22" ht="24.95" customHeight="1" x14ac:dyDescent="0.2">
      <c r="A43" s="336" t="s">
        <v>194</v>
      </c>
      <c r="B43" s="335" t="e">
        <f t="shared" ref="B43:B52" si="23">P43+R43+T43</f>
        <v>#REF!</v>
      </c>
      <c r="C43" s="335"/>
      <c r="D43" s="426"/>
      <c r="E43" s="426"/>
      <c r="F43" s="426"/>
      <c r="G43" s="426"/>
      <c r="H43" s="411"/>
      <c r="I43" s="411"/>
      <c r="J43" s="411"/>
      <c r="K43" s="411"/>
      <c r="L43" s="397"/>
      <c r="M43" s="397"/>
      <c r="N43" s="397"/>
      <c r="O43" s="397"/>
      <c r="P43" s="352" t="e">
        <f>P47+P50+P54+P44</f>
        <v>#REF!</v>
      </c>
      <c r="Q43" s="352" t="e">
        <f t="shared" si="7"/>
        <v>#REF!</v>
      </c>
      <c r="R43" s="352" t="e">
        <f>R47+R50+R54+R44</f>
        <v>#REF!</v>
      </c>
      <c r="S43" s="352" t="e">
        <f t="shared" si="4"/>
        <v>#REF!</v>
      </c>
      <c r="T43" s="352" t="e">
        <f t="shared" ref="T43" si="24">T47+T50+T54+T44</f>
        <v>#REF!</v>
      </c>
      <c r="U43" s="352" t="e">
        <f t="shared" si="5"/>
        <v>#REF!</v>
      </c>
      <c r="V43" s="337" t="e">
        <f t="shared" si="2"/>
        <v>#REF!</v>
      </c>
    </row>
    <row r="44" spans="1:22" ht="24.95" customHeight="1" x14ac:dyDescent="0.2">
      <c r="A44" s="338" t="s">
        <v>201</v>
      </c>
      <c r="B44" s="335" t="e">
        <f t="shared" si="23"/>
        <v>#REF!</v>
      </c>
      <c r="C44" s="335"/>
      <c r="D44" s="426"/>
      <c r="E44" s="426"/>
      <c r="F44" s="426"/>
      <c r="G44" s="426"/>
      <c r="H44" s="411"/>
      <c r="I44" s="411"/>
      <c r="J44" s="411"/>
      <c r="K44" s="411"/>
      <c r="L44" s="397"/>
      <c r="M44" s="397"/>
      <c r="N44" s="397"/>
      <c r="O44" s="397"/>
      <c r="P44" s="352" t="e">
        <f>SUM(P45:P46)</f>
        <v>#REF!</v>
      </c>
      <c r="Q44" s="352" t="e">
        <f t="shared" si="7"/>
        <v>#REF!</v>
      </c>
      <c r="R44" s="352" t="e">
        <f t="shared" ref="R44:T44" si="25">SUM(R45:R46)</f>
        <v>#REF!</v>
      </c>
      <c r="S44" s="352" t="e">
        <f t="shared" si="4"/>
        <v>#REF!</v>
      </c>
      <c r="T44" s="352" t="e">
        <f t="shared" si="25"/>
        <v>#REF!</v>
      </c>
      <c r="U44" s="352" t="e">
        <f t="shared" si="5"/>
        <v>#REF!</v>
      </c>
      <c r="V44" s="337" t="e">
        <f t="shared" si="2"/>
        <v>#REF!</v>
      </c>
    </row>
    <row r="45" spans="1:22" ht="24.95" customHeight="1" x14ac:dyDescent="0.2">
      <c r="A45" s="285" t="s">
        <v>48</v>
      </c>
      <c r="B45" s="339" t="e">
        <f t="shared" si="23"/>
        <v>#REF!</v>
      </c>
      <c r="C45" s="339" t="e">
        <f t="shared" ref="C45:C65" si="26">SUM(D45:O45)</f>
        <v>#REF!</v>
      </c>
      <c r="D45" s="427"/>
      <c r="E45" s="427"/>
      <c r="F45" s="427" t="e">
        <f>P45</f>
        <v>#REF!</v>
      </c>
      <c r="G45" s="427"/>
      <c r="H45" s="412">
        <v>0</v>
      </c>
      <c r="I45" s="412"/>
      <c r="J45" s="412"/>
      <c r="K45" s="412" t="e">
        <f>R45</f>
        <v>#REF!</v>
      </c>
      <c r="L45" s="398" t="e">
        <f>Q45</f>
        <v>#REF!</v>
      </c>
      <c r="M45" s="398"/>
      <c r="N45" s="398"/>
      <c r="O45" s="398" t="e">
        <f>T45</f>
        <v>#REF!</v>
      </c>
      <c r="P45" s="353" t="e">
        <f>'สงม. 2 รักษาฯ'!#REF!</f>
        <v>#REF!</v>
      </c>
      <c r="Q45" s="353" t="e">
        <f t="shared" si="7"/>
        <v>#REF!</v>
      </c>
      <c r="R45" s="353" t="e">
        <f>'สงม. 2 รักษาฯ'!#REF!</f>
        <v>#REF!</v>
      </c>
      <c r="S45" s="353" t="e">
        <f t="shared" si="4"/>
        <v>#REF!</v>
      </c>
      <c r="T45" s="353" t="e">
        <f>'สงม. 2 รักษาฯ'!#REF!</f>
        <v>#REF!</v>
      </c>
      <c r="U45" s="353" t="e">
        <f t="shared" si="5"/>
        <v>#REF!</v>
      </c>
      <c r="V45" s="337" t="e">
        <f t="shared" si="2"/>
        <v>#REF!</v>
      </c>
    </row>
    <row r="46" spans="1:22" ht="24.95" customHeight="1" x14ac:dyDescent="0.2">
      <c r="A46" s="285" t="s">
        <v>49</v>
      </c>
      <c r="B46" s="339">
        <f t="shared" si="23"/>
        <v>12077900</v>
      </c>
      <c r="C46" s="339">
        <f t="shared" si="26"/>
        <v>4159527.5</v>
      </c>
      <c r="D46" s="427">
        <f>P46/4</f>
        <v>963925</v>
      </c>
      <c r="E46" s="427">
        <v>123040</v>
      </c>
      <c r="F46" s="427">
        <v>123040</v>
      </c>
      <c r="G46" s="427">
        <v>123040</v>
      </c>
      <c r="H46" s="412">
        <f>R46/4</f>
        <v>1579250</v>
      </c>
      <c r="I46" s="412">
        <v>137077.5</v>
      </c>
      <c r="J46" s="412">
        <v>137077.5</v>
      </c>
      <c r="K46" s="412">
        <v>137077.5</v>
      </c>
      <c r="L46" s="398">
        <f t="shared" ref="L46" si="27">T46/4</f>
        <v>476300</v>
      </c>
      <c r="M46" s="398">
        <v>119900</v>
      </c>
      <c r="N46" s="398">
        <v>119900</v>
      </c>
      <c r="O46" s="398">
        <v>119900</v>
      </c>
      <c r="P46" s="353">
        <f>'สงม. 2 รักษาฯ'!D11</f>
        <v>3855700</v>
      </c>
      <c r="Q46" s="353">
        <f t="shared" si="7"/>
        <v>-2522655</v>
      </c>
      <c r="R46" s="353">
        <f>'สงม. 2 รักษาฯ'!E11</f>
        <v>6317000</v>
      </c>
      <c r="S46" s="353">
        <f t="shared" si="4"/>
        <v>-4326517.5</v>
      </c>
      <c r="T46" s="353">
        <f>'สงม. 2 รักษาฯ'!F11</f>
        <v>1905200</v>
      </c>
      <c r="U46" s="353">
        <f t="shared" si="5"/>
        <v>-1069200</v>
      </c>
      <c r="V46" s="337">
        <f t="shared" si="2"/>
        <v>-7918372.5</v>
      </c>
    </row>
    <row r="47" spans="1:22" ht="24.95" customHeight="1" x14ac:dyDescent="0.2">
      <c r="A47" s="338" t="s">
        <v>202</v>
      </c>
      <c r="B47" s="335" t="e">
        <f t="shared" si="23"/>
        <v>#REF!</v>
      </c>
      <c r="C47" s="335">
        <f t="shared" si="26"/>
        <v>0</v>
      </c>
      <c r="D47" s="426"/>
      <c r="E47" s="426"/>
      <c r="F47" s="426"/>
      <c r="G47" s="426"/>
      <c r="H47" s="411"/>
      <c r="I47" s="411"/>
      <c r="J47" s="411"/>
      <c r="K47" s="411"/>
      <c r="L47" s="397"/>
      <c r="M47" s="397"/>
      <c r="N47" s="397"/>
      <c r="O47" s="397"/>
      <c r="P47" s="352" t="e">
        <f>SUM(P48:P49)</f>
        <v>#REF!</v>
      </c>
      <c r="Q47" s="352" t="e">
        <f t="shared" si="7"/>
        <v>#REF!</v>
      </c>
      <c r="R47" s="352" t="e">
        <f t="shared" ref="R47:T47" si="28">SUM(R48:R49)</f>
        <v>#REF!</v>
      </c>
      <c r="S47" s="352" t="e">
        <f t="shared" si="4"/>
        <v>#REF!</v>
      </c>
      <c r="T47" s="352" t="e">
        <f t="shared" si="28"/>
        <v>#REF!</v>
      </c>
      <c r="U47" s="352" t="e">
        <f t="shared" si="5"/>
        <v>#REF!</v>
      </c>
      <c r="V47" s="337" t="e">
        <f t="shared" si="2"/>
        <v>#REF!</v>
      </c>
    </row>
    <row r="48" spans="1:22" ht="24.95" customHeight="1" x14ac:dyDescent="0.2">
      <c r="A48" s="285" t="s">
        <v>48</v>
      </c>
      <c r="B48" s="339" t="e">
        <f t="shared" si="23"/>
        <v>#REF!</v>
      </c>
      <c r="C48" s="339" t="e">
        <f t="shared" si="26"/>
        <v>#REF!</v>
      </c>
      <c r="D48" s="427"/>
      <c r="E48" s="427"/>
      <c r="F48" s="427" t="e">
        <f>P48</f>
        <v>#REF!</v>
      </c>
      <c r="G48" s="427"/>
      <c r="H48" s="412">
        <v>0</v>
      </c>
      <c r="I48" s="412"/>
      <c r="J48" s="412"/>
      <c r="K48" s="412" t="e">
        <f>R48</f>
        <v>#REF!</v>
      </c>
      <c r="L48" s="398" t="e">
        <f>Q48</f>
        <v>#REF!</v>
      </c>
      <c r="M48" s="398"/>
      <c r="N48" s="398"/>
      <c r="O48" s="398" t="e">
        <f>T48</f>
        <v>#REF!</v>
      </c>
      <c r="P48" s="353" t="e">
        <f>'สงม. 2 รักษาฯ'!#REF!</f>
        <v>#REF!</v>
      </c>
      <c r="Q48" s="353" t="e">
        <f t="shared" si="7"/>
        <v>#REF!</v>
      </c>
      <c r="R48" s="353" t="e">
        <f>'สงม. 2 รักษาฯ'!#REF!</f>
        <v>#REF!</v>
      </c>
      <c r="S48" s="353" t="e">
        <f t="shared" si="4"/>
        <v>#REF!</v>
      </c>
      <c r="T48" s="353" t="e">
        <f>'สงม. 2 รักษาฯ'!#REF!</f>
        <v>#REF!</v>
      </c>
      <c r="U48" s="353" t="e">
        <f t="shared" si="5"/>
        <v>#REF!</v>
      </c>
      <c r="V48" s="337" t="e">
        <f t="shared" si="2"/>
        <v>#REF!</v>
      </c>
    </row>
    <row r="49" spans="1:23" ht="24.95" customHeight="1" x14ac:dyDescent="0.2">
      <c r="A49" s="285" t="s">
        <v>49</v>
      </c>
      <c r="B49" s="339" t="e">
        <f t="shared" si="23"/>
        <v>#REF!</v>
      </c>
      <c r="C49" s="339" t="e">
        <f t="shared" si="26"/>
        <v>#REF!</v>
      </c>
      <c r="D49" s="427" t="e">
        <f>P49/4</f>
        <v>#REF!</v>
      </c>
      <c r="E49" s="427">
        <v>370028.75</v>
      </c>
      <c r="F49" s="427">
        <v>370028.75</v>
      </c>
      <c r="G49" s="427">
        <v>370028.75</v>
      </c>
      <c r="H49" s="412" t="e">
        <f>R49/4</f>
        <v>#REF!</v>
      </c>
      <c r="I49" s="412">
        <v>442468.75</v>
      </c>
      <c r="J49" s="412">
        <v>442468.75</v>
      </c>
      <c r="K49" s="412">
        <v>442468.75</v>
      </c>
      <c r="L49" s="398" t="e">
        <f t="shared" ref="L49" si="29">T49/4</f>
        <v>#REF!</v>
      </c>
      <c r="M49" s="398">
        <v>330055</v>
      </c>
      <c r="N49" s="398">
        <v>330055</v>
      </c>
      <c r="O49" s="398">
        <v>330055</v>
      </c>
      <c r="P49" s="353" t="e">
        <f>'สงม. 2 รักษาฯ'!#REF!</f>
        <v>#REF!</v>
      </c>
      <c r="Q49" s="353" t="e">
        <f t="shared" si="7"/>
        <v>#REF!</v>
      </c>
      <c r="R49" s="353" t="e">
        <f>'สงม. 2 รักษาฯ'!#REF!</f>
        <v>#REF!</v>
      </c>
      <c r="S49" s="353" t="e">
        <f t="shared" si="4"/>
        <v>#REF!</v>
      </c>
      <c r="T49" s="353" t="e">
        <f>'สงม. 2 รักษาฯ'!#REF!</f>
        <v>#REF!</v>
      </c>
      <c r="U49" s="353" t="e">
        <f t="shared" si="5"/>
        <v>#REF!</v>
      </c>
      <c r="V49" s="337" t="e">
        <f t="shared" si="2"/>
        <v>#REF!</v>
      </c>
    </row>
    <row r="50" spans="1:23" ht="24.95" customHeight="1" x14ac:dyDescent="0.2">
      <c r="A50" s="338" t="s">
        <v>203</v>
      </c>
      <c r="B50" s="335" t="e">
        <f t="shared" si="23"/>
        <v>#REF!</v>
      </c>
      <c r="C50" s="335">
        <f t="shared" si="26"/>
        <v>0</v>
      </c>
      <c r="D50" s="426"/>
      <c r="E50" s="426"/>
      <c r="F50" s="426"/>
      <c r="G50" s="426"/>
      <c r="H50" s="411"/>
      <c r="I50" s="411"/>
      <c r="J50" s="411"/>
      <c r="K50" s="411"/>
      <c r="L50" s="397"/>
      <c r="M50" s="397"/>
      <c r="N50" s="397"/>
      <c r="O50" s="397"/>
      <c r="P50" s="352" t="e">
        <f>SUM(P51:P52)</f>
        <v>#REF!</v>
      </c>
      <c r="Q50" s="352" t="e">
        <f t="shared" si="7"/>
        <v>#REF!</v>
      </c>
      <c r="R50" s="352" t="e">
        <f t="shared" ref="R50:T50" si="30">SUM(R51:R52)</f>
        <v>#REF!</v>
      </c>
      <c r="S50" s="352" t="e">
        <f t="shared" si="4"/>
        <v>#REF!</v>
      </c>
      <c r="T50" s="352" t="e">
        <f t="shared" si="30"/>
        <v>#REF!</v>
      </c>
      <c r="U50" s="352" t="e">
        <f t="shared" si="5"/>
        <v>#REF!</v>
      </c>
      <c r="V50" s="337" t="e">
        <f t="shared" si="2"/>
        <v>#REF!</v>
      </c>
    </row>
    <row r="51" spans="1:23" ht="24.95" customHeight="1" x14ac:dyDescent="0.2">
      <c r="A51" s="285" t="s">
        <v>48</v>
      </c>
      <c r="B51" s="339" t="e">
        <f t="shared" si="23"/>
        <v>#REF!</v>
      </c>
      <c r="C51" s="339" t="e">
        <f t="shared" si="26"/>
        <v>#REF!</v>
      </c>
      <c r="D51" s="427"/>
      <c r="E51" s="427"/>
      <c r="F51" s="427" t="e">
        <f>P51</f>
        <v>#REF!</v>
      </c>
      <c r="G51" s="427"/>
      <c r="H51" s="412">
        <v>0</v>
      </c>
      <c r="I51" s="412"/>
      <c r="J51" s="412"/>
      <c r="K51" s="412" t="e">
        <f>R51</f>
        <v>#REF!</v>
      </c>
      <c r="L51" s="398" t="e">
        <f>Q51</f>
        <v>#REF!</v>
      </c>
      <c r="M51" s="398"/>
      <c r="N51" s="398"/>
      <c r="O51" s="398" t="e">
        <f>T51</f>
        <v>#REF!</v>
      </c>
      <c r="P51" s="353" t="e">
        <f>'สงม. 2 รักษาฯ'!#REF!</f>
        <v>#REF!</v>
      </c>
      <c r="Q51" s="353" t="e">
        <f t="shared" si="7"/>
        <v>#REF!</v>
      </c>
      <c r="R51" s="353" t="e">
        <f>'สงม. 2 รักษาฯ'!#REF!</f>
        <v>#REF!</v>
      </c>
      <c r="S51" s="353" t="e">
        <f t="shared" si="4"/>
        <v>#REF!</v>
      </c>
      <c r="T51" s="353" t="e">
        <f>'สงม. 2 รักษาฯ'!#REF!</f>
        <v>#REF!</v>
      </c>
      <c r="U51" s="353" t="e">
        <f t="shared" si="5"/>
        <v>#REF!</v>
      </c>
      <c r="V51" s="337" t="e">
        <f t="shared" si="2"/>
        <v>#REF!</v>
      </c>
    </row>
    <row r="52" spans="1:23" ht="24.95" customHeight="1" x14ac:dyDescent="0.2">
      <c r="A52" s="285" t="s">
        <v>49</v>
      </c>
      <c r="B52" s="339">
        <f t="shared" si="23"/>
        <v>5790000</v>
      </c>
      <c r="C52" s="339">
        <f t="shared" si="26"/>
        <v>8306565</v>
      </c>
      <c r="D52" s="427">
        <f>P52/4</f>
        <v>372650</v>
      </c>
      <c r="E52" s="427">
        <v>740435</v>
      </c>
      <c r="F52" s="427">
        <v>740435</v>
      </c>
      <c r="G52" s="427">
        <v>740435</v>
      </c>
      <c r="H52" s="412">
        <f>R52/4</f>
        <v>638350</v>
      </c>
      <c r="I52" s="412">
        <v>873435</v>
      </c>
      <c r="J52" s="412">
        <v>873435</v>
      </c>
      <c r="K52" s="412">
        <v>873435</v>
      </c>
      <c r="L52" s="398">
        <f t="shared" ref="L52:L53" si="31">T52/4</f>
        <v>436500</v>
      </c>
      <c r="M52" s="398">
        <v>672485</v>
      </c>
      <c r="N52" s="398">
        <v>672485</v>
      </c>
      <c r="O52" s="398">
        <v>672485</v>
      </c>
      <c r="P52" s="353">
        <f>'สงม. 2 รักษาฯ'!D68</f>
        <v>1490600</v>
      </c>
      <c r="Q52" s="353">
        <f t="shared" si="7"/>
        <v>1103355</v>
      </c>
      <c r="R52" s="353">
        <f>'สงม. 2 รักษาฯ'!E68</f>
        <v>2553400</v>
      </c>
      <c r="S52" s="353">
        <f t="shared" si="4"/>
        <v>705255</v>
      </c>
      <c r="T52" s="353">
        <f>'สงม. 2 รักษาฯ'!F68</f>
        <v>1746000</v>
      </c>
      <c r="U52" s="353">
        <f t="shared" si="5"/>
        <v>707955</v>
      </c>
      <c r="V52" s="337">
        <f t="shared" si="2"/>
        <v>2516565</v>
      </c>
    </row>
    <row r="53" spans="1:23" s="240" customFormat="1" ht="24.95" customHeight="1" x14ac:dyDescent="0.2">
      <c r="A53" s="354" t="s">
        <v>197</v>
      </c>
      <c r="B53" s="335" t="e">
        <f t="shared" ref="B53:B57" si="32">P53+R53+T53</f>
        <v>#REF!</v>
      </c>
      <c r="C53" s="335" t="e">
        <f t="shared" si="26"/>
        <v>#REF!</v>
      </c>
      <c r="D53" s="426" t="e">
        <f>P53/4</f>
        <v>#REF!</v>
      </c>
      <c r="E53" s="426">
        <v>26675</v>
      </c>
      <c r="F53" s="426">
        <v>26675</v>
      </c>
      <c r="G53" s="426">
        <v>26675</v>
      </c>
      <c r="H53" s="411" t="e">
        <f>R53/4</f>
        <v>#REF!</v>
      </c>
      <c r="I53" s="411">
        <v>16425</v>
      </c>
      <c r="J53" s="411">
        <v>16425</v>
      </c>
      <c r="K53" s="411">
        <v>16425</v>
      </c>
      <c r="L53" s="397" t="e">
        <f t="shared" si="31"/>
        <v>#REF!</v>
      </c>
      <c r="M53" s="397">
        <v>14175</v>
      </c>
      <c r="N53" s="397">
        <v>14175</v>
      </c>
      <c r="O53" s="397">
        <v>14175</v>
      </c>
      <c r="P53" s="352" t="e">
        <f>'สงม. 2 รักษาฯ'!#REF!+'สงม. 2 รักษาฯ'!D87</f>
        <v>#REF!</v>
      </c>
      <c r="Q53" s="352" t="e">
        <f t="shared" si="7"/>
        <v>#REF!</v>
      </c>
      <c r="R53" s="352" t="e">
        <f>'สงม. 2 รักษาฯ'!#REF!+'สงม. 2 รักษาฯ'!E87</f>
        <v>#REF!</v>
      </c>
      <c r="S53" s="352" t="e">
        <f t="shared" si="4"/>
        <v>#REF!</v>
      </c>
      <c r="T53" s="352" t="e">
        <f>'สงม. 2 รักษาฯ'!#REF!+'สงม. 2 รักษาฯ'!F87</f>
        <v>#REF!</v>
      </c>
      <c r="U53" s="352" t="e">
        <f t="shared" si="5"/>
        <v>#REF!</v>
      </c>
      <c r="V53" s="337" t="e">
        <f t="shared" si="2"/>
        <v>#REF!</v>
      </c>
    </row>
    <row r="54" spans="1:23" ht="24.95" customHeight="1" x14ac:dyDescent="0.2">
      <c r="A54" s="338" t="s">
        <v>204</v>
      </c>
      <c r="B54" s="335" t="e">
        <f t="shared" si="32"/>
        <v>#REF!</v>
      </c>
      <c r="C54" s="335">
        <f t="shared" si="26"/>
        <v>0</v>
      </c>
      <c r="D54" s="426"/>
      <c r="E54" s="426"/>
      <c r="F54" s="426"/>
      <c r="G54" s="426"/>
      <c r="H54" s="411"/>
      <c r="I54" s="411"/>
      <c r="J54" s="411"/>
      <c r="K54" s="411"/>
      <c r="L54" s="397"/>
      <c r="M54" s="397"/>
      <c r="N54" s="397"/>
      <c r="O54" s="397"/>
      <c r="P54" s="352" t="e">
        <f>SUM(P55:P57)</f>
        <v>#REF!</v>
      </c>
      <c r="Q54" s="352" t="e">
        <f t="shared" si="7"/>
        <v>#REF!</v>
      </c>
      <c r="R54" s="352" t="e">
        <f t="shared" ref="R54:T54" si="33">SUM(R55:R57)</f>
        <v>#REF!</v>
      </c>
      <c r="S54" s="352" t="e">
        <f t="shared" si="4"/>
        <v>#REF!</v>
      </c>
      <c r="T54" s="352" t="e">
        <f t="shared" si="33"/>
        <v>#REF!</v>
      </c>
      <c r="U54" s="352" t="e">
        <f t="shared" si="5"/>
        <v>#REF!</v>
      </c>
      <c r="V54" s="337" t="e">
        <f t="shared" si="2"/>
        <v>#REF!</v>
      </c>
    </row>
    <row r="55" spans="1:23" ht="24.95" customHeight="1" x14ac:dyDescent="0.2">
      <c r="A55" s="285" t="s">
        <v>48</v>
      </c>
      <c r="B55" s="339" t="e">
        <f t="shared" si="32"/>
        <v>#REF!</v>
      </c>
      <c r="C55" s="339" t="e">
        <f t="shared" si="26"/>
        <v>#REF!</v>
      </c>
      <c r="D55" s="427"/>
      <c r="E55" s="427"/>
      <c r="F55" s="427" t="e">
        <f>P55</f>
        <v>#REF!</v>
      </c>
      <c r="G55" s="427"/>
      <c r="H55" s="412">
        <v>0</v>
      </c>
      <c r="I55" s="412"/>
      <c r="J55" s="412"/>
      <c r="K55" s="412" t="e">
        <f>R55</f>
        <v>#REF!</v>
      </c>
      <c r="L55" s="398" t="e">
        <f>Q55</f>
        <v>#REF!</v>
      </c>
      <c r="M55" s="398"/>
      <c r="N55" s="398"/>
      <c r="O55" s="398" t="e">
        <f>T55</f>
        <v>#REF!</v>
      </c>
      <c r="P55" s="353" t="e">
        <f>'สงม. 2 รักษาฯ'!#REF!</f>
        <v>#REF!</v>
      </c>
      <c r="Q55" s="353" t="e">
        <f t="shared" si="7"/>
        <v>#REF!</v>
      </c>
      <c r="R55" s="353" t="e">
        <f>'สงม. 2 รักษาฯ'!#REF!</f>
        <v>#REF!</v>
      </c>
      <c r="S55" s="353" t="e">
        <f t="shared" si="4"/>
        <v>#REF!</v>
      </c>
      <c r="T55" s="353" t="e">
        <f>'สงม. 2 รักษาฯ'!#REF!</f>
        <v>#REF!</v>
      </c>
      <c r="U55" s="353" t="e">
        <f t="shared" si="5"/>
        <v>#REF!</v>
      </c>
      <c r="V55" s="337" t="e">
        <f t="shared" si="2"/>
        <v>#REF!</v>
      </c>
    </row>
    <row r="56" spans="1:23" ht="24.95" customHeight="1" x14ac:dyDescent="0.2">
      <c r="A56" s="285" t="s">
        <v>49</v>
      </c>
      <c r="B56" s="339">
        <f t="shared" si="32"/>
        <v>3892200</v>
      </c>
      <c r="C56" s="339">
        <f t="shared" si="26"/>
        <v>2781675</v>
      </c>
      <c r="D56" s="427">
        <f t="shared" ref="D56:D57" si="34">P56/4</f>
        <v>250200</v>
      </c>
      <c r="E56" s="427">
        <v>180862.5</v>
      </c>
      <c r="F56" s="427">
        <v>180862.5</v>
      </c>
      <c r="G56" s="427">
        <v>180862.5</v>
      </c>
      <c r="H56" s="412">
        <f t="shared" ref="H56:H57" si="35">R56/4</f>
        <v>606175</v>
      </c>
      <c r="I56" s="412">
        <v>213495</v>
      </c>
      <c r="J56" s="412">
        <v>213495</v>
      </c>
      <c r="K56" s="412">
        <v>213495</v>
      </c>
      <c r="L56" s="398">
        <f t="shared" ref="L56:L57" si="36">T56/4</f>
        <v>116675</v>
      </c>
      <c r="M56" s="398">
        <v>208517.5</v>
      </c>
      <c r="N56" s="398">
        <v>208517.5</v>
      </c>
      <c r="O56" s="398">
        <v>208517.5</v>
      </c>
      <c r="P56" s="353">
        <f>'สงม. 2 รักษาฯ'!D102</f>
        <v>1000800</v>
      </c>
      <c r="Q56" s="353">
        <f t="shared" si="7"/>
        <v>-208012.5</v>
      </c>
      <c r="R56" s="353">
        <f>'สงม. 2 รักษาฯ'!E102</f>
        <v>2424700</v>
      </c>
      <c r="S56" s="353">
        <f t="shared" si="4"/>
        <v>-1178040</v>
      </c>
      <c r="T56" s="353">
        <f>'สงม. 2 รักษาฯ'!F102</f>
        <v>466700</v>
      </c>
      <c r="U56" s="353">
        <f t="shared" si="5"/>
        <v>275527.5</v>
      </c>
      <c r="V56" s="337">
        <f t="shared" si="2"/>
        <v>-1110525</v>
      </c>
      <c r="W56" s="287" t="e">
        <f>'สงม.1 (แยกฝ่าย)'!C130+'สงม.1 (แยกฝ่าย)'!D130+'สงม.1 (แยกฝ่าย)'!E130</f>
        <v>#REF!</v>
      </c>
    </row>
    <row r="57" spans="1:23" ht="24.95" customHeight="1" x14ac:dyDescent="0.2">
      <c r="A57" s="285" t="s">
        <v>53</v>
      </c>
      <c r="B57" s="339" t="e">
        <f t="shared" si="32"/>
        <v>#REF!</v>
      </c>
      <c r="C57" s="339" t="e">
        <f t="shared" si="26"/>
        <v>#REF!</v>
      </c>
      <c r="D57" s="427" t="e">
        <f t="shared" si="34"/>
        <v>#REF!</v>
      </c>
      <c r="E57" s="427">
        <v>0</v>
      </c>
      <c r="F57" s="427">
        <v>0</v>
      </c>
      <c r="G57" s="427">
        <v>0</v>
      </c>
      <c r="H57" s="412" t="e">
        <f t="shared" si="35"/>
        <v>#REF!</v>
      </c>
      <c r="I57" s="412">
        <v>275000</v>
      </c>
      <c r="J57" s="412">
        <v>275000</v>
      </c>
      <c r="K57" s="412">
        <v>275000</v>
      </c>
      <c r="L57" s="398" t="e">
        <f t="shared" si="36"/>
        <v>#REF!</v>
      </c>
      <c r="M57" s="398">
        <v>0</v>
      </c>
      <c r="N57" s="398">
        <v>0</v>
      </c>
      <c r="O57" s="398">
        <v>0</v>
      </c>
      <c r="P57" s="353" t="e">
        <f>'สงม. 2 รักษาฯ'!#REF!</f>
        <v>#REF!</v>
      </c>
      <c r="Q57" s="353" t="e">
        <f t="shared" si="7"/>
        <v>#REF!</v>
      </c>
      <c r="R57" s="353" t="e">
        <f>'สงม. 2 รักษาฯ'!#REF!</f>
        <v>#REF!</v>
      </c>
      <c r="S57" s="353" t="e">
        <f t="shared" si="4"/>
        <v>#REF!</v>
      </c>
      <c r="T57" s="353" t="e">
        <f>'สงม. 2 รักษาฯ'!#REF!</f>
        <v>#REF!</v>
      </c>
      <c r="U57" s="353" t="e">
        <f t="shared" si="5"/>
        <v>#REF!</v>
      </c>
      <c r="V57" s="337" t="e">
        <f t="shared" si="2"/>
        <v>#REF!</v>
      </c>
      <c r="W57" s="287" t="e">
        <f>P43+R43+T43+P53+R53+T53</f>
        <v>#REF!</v>
      </c>
    </row>
    <row r="58" spans="1:23" ht="24.95" customHeight="1" x14ac:dyDescent="0.2">
      <c r="A58" s="334" t="s">
        <v>181</v>
      </c>
      <c r="B58" s="335"/>
      <c r="C58" s="335">
        <f t="shared" si="26"/>
        <v>0</v>
      </c>
      <c r="D58" s="426"/>
      <c r="E58" s="426"/>
      <c r="F58" s="426"/>
      <c r="G58" s="426"/>
      <c r="H58" s="411"/>
      <c r="I58" s="411"/>
      <c r="J58" s="411"/>
      <c r="K58" s="411"/>
      <c r="L58" s="397"/>
      <c r="M58" s="397"/>
      <c r="N58" s="397"/>
      <c r="O58" s="397"/>
      <c r="P58" s="352"/>
      <c r="Q58" s="352">
        <f t="shared" si="7"/>
        <v>0</v>
      </c>
      <c r="R58" s="352"/>
      <c r="S58" s="352">
        <f t="shared" si="4"/>
        <v>0</v>
      </c>
      <c r="T58" s="352"/>
      <c r="U58" s="352">
        <f t="shared" si="5"/>
        <v>0</v>
      </c>
      <c r="V58" s="337">
        <f t="shared" si="2"/>
        <v>0</v>
      </c>
    </row>
    <row r="59" spans="1:23" ht="24.95" customHeight="1" x14ac:dyDescent="0.2">
      <c r="A59" s="336" t="s">
        <v>194</v>
      </c>
      <c r="B59" s="335" t="e">
        <f t="shared" ref="B59:B65" si="37">P59+R59+T59</f>
        <v>#REF!</v>
      </c>
      <c r="C59" s="335">
        <f t="shared" si="26"/>
        <v>0</v>
      </c>
      <c r="D59" s="426"/>
      <c r="E59" s="426"/>
      <c r="F59" s="426"/>
      <c r="G59" s="426"/>
      <c r="H59" s="411"/>
      <c r="I59" s="411"/>
      <c r="J59" s="411"/>
      <c r="K59" s="411"/>
      <c r="L59" s="397"/>
      <c r="M59" s="397"/>
      <c r="N59" s="397"/>
      <c r="O59" s="397"/>
      <c r="P59" s="352" t="e">
        <f>P60+P63</f>
        <v>#REF!</v>
      </c>
      <c r="Q59" s="352" t="e">
        <f t="shared" si="7"/>
        <v>#REF!</v>
      </c>
      <c r="R59" s="352" t="e">
        <f t="shared" ref="R59:T59" si="38">R60+R63</f>
        <v>#REF!</v>
      </c>
      <c r="S59" s="352" t="e">
        <f t="shared" si="4"/>
        <v>#REF!</v>
      </c>
      <c r="T59" s="352" t="e">
        <f t="shared" si="38"/>
        <v>#REF!</v>
      </c>
      <c r="U59" s="352" t="e">
        <f t="shared" si="5"/>
        <v>#REF!</v>
      </c>
      <c r="V59" s="337" t="e">
        <f t="shared" si="2"/>
        <v>#REF!</v>
      </c>
    </row>
    <row r="60" spans="1:23" ht="24.95" customHeight="1" x14ac:dyDescent="0.2">
      <c r="A60" s="338" t="s">
        <v>205</v>
      </c>
      <c r="B60" s="335" t="e">
        <f t="shared" si="37"/>
        <v>#REF!</v>
      </c>
      <c r="C60" s="335">
        <f t="shared" si="26"/>
        <v>0</v>
      </c>
      <c r="D60" s="426"/>
      <c r="E60" s="426"/>
      <c r="F60" s="426"/>
      <c r="G60" s="426"/>
      <c r="H60" s="411"/>
      <c r="I60" s="411"/>
      <c r="J60" s="411"/>
      <c r="K60" s="411"/>
      <c r="L60" s="397"/>
      <c r="M60" s="397"/>
      <c r="N60" s="397"/>
      <c r="O60" s="397"/>
      <c r="P60" s="352" t="e">
        <f>SUM(P61:P62)</f>
        <v>#REF!</v>
      </c>
      <c r="Q60" s="352" t="e">
        <f t="shared" si="7"/>
        <v>#REF!</v>
      </c>
      <c r="R60" s="352" t="e">
        <f t="shared" ref="R60:T60" si="39">SUM(R61:R62)</f>
        <v>#REF!</v>
      </c>
      <c r="S60" s="352" t="e">
        <f t="shared" si="4"/>
        <v>#REF!</v>
      </c>
      <c r="T60" s="352" t="e">
        <f t="shared" si="39"/>
        <v>#REF!</v>
      </c>
      <c r="U60" s="352" t="e">
        <f t="shared" si="5"/>
        <v>#REF!</v>
      </c>
      <c r="V60" s="337" t="e">
        <f t="shared" si="2"/>
        <v>#REF!</v>
      </c>
    </row>
    <row r="61" spans="1:23" ht="24.95" customHeight="1" x14ac:dyDescent="0.2">
      <c r="A61" s="285" t="s">
        <v>48</v>
      </c>
      <c r="B61" s="339" t="e">
        <f t="shared" si="37"/>
        <v>#REF!</v>
      </c>
      <c r="C61" s="339" t="e">
        <f t="shared" si="26"/>
        <v>#REF!</v>
      </c>
      <c r="D61" s="427"/>
      <c r="E61" s="427"/>
      <c r="F61" s="427" t="e">
        <f>P61</f>
        <v>#REF!</v>
      </c>
      <c r="G61" s="427"/>
      <c r="H61" s="412" t="e">
        <f>O61</f>
        <v>#REF!</v>
      </c>
      <c r="I61" s="412"/>
      <c r="J61" s="412"/>
      <c r="K61" s="412" t="e">
        <f>R61</f>
        <v>#REF!</v>
      </c>
      <c r="L61" s="398" t="e">
        <f>Q61</f>
        <v>#REF!</v>
      </c>
      <c r="M61" s="398"/>
      <c r="N61" s="398"/>
      <c r="O61" s="398" t="e">
        <f>T61</f>
        <v>#REF!</v>
      </c>
      <c r="P61" s="353" t="e">
        <f>'สงม. 2 เทศกิจ'!#REF!</f>
        <v>#REF!</v>
      </c>
      <c r="Q61" s="353" t="e">
        <f t="shared" si="7"/>
        <v>#REF!</v>
      </c>
      <c r="R61" s="353" t="e">
        <f>'สงม. 2 เทศกิจ'!#REF!</f>
        <v>#REF!</v>
      </c>
      <c r="S61" s="353" t="e">
        <f t="shared" si="4"/>
        <v>#REF!</v>
      </c>
      <c r="T61" s="353" t="e">
        <f>'สงม. 2 เทศกิจ'!#REF!</f>
        <v>#REF!</v>
      </c>
      <c r="U61" s="353" t="e">
        <f t="shared" si="5"/>
        <v>#REF!</v>
      </c>
      <c r="V61" s="337" t="e">
        <f t="shared" si="2"/>
        <v>#REF!</v>
      </c>
    </row>
    <row r="62" spans="1:23" ht="24.95" customHeight="1" x14ac:dyDescent="0.2">
      <c r="A62" s="285" t="s">
        <v>49</v>
      </c>
      <c r="B62" s="339">
        <f t="shared" si="37"/>
        <v>2884500</v>
      </c>
      <c r="C62" s="339">
        <f t="shared" si="26"/>
        <v>1431120</v>
      </c>
      <c r="D62" s="427">
        <f>P62/4</f>
        <v>222700</v>
      </c>
      <c r="E62" s="427">
        <v>73149</v>
      </c>
      <c r="F62" s="427">
        <v>73149</v>
      </c>
      <c r="G62" s="427">
        <v>73149</v>
      </c>
      <c r="H62" s="412">
        <f>R62/4</f>
        <v>331175</v>
      </c>
      <c r="I62" s="412">
        <v>91725</v>
      </c>
      <c r="J62" s="412">
        <v>91725</v>
      </c>
      <c r="K62" s="412">
        <v>91725</v>
      </c>
      <c r="L62" s="398">
        <f t="shared" ref="L62" si="40">T62/4</f>
        <v>167250</v>
      </c>
      <c r="M62" s="398">
        <v>71791</v>
      </c>
      <c r="N62" s="398">
        <v>71791</v>
      </c>
      <c r="O62" s="398">
        <v>71791</v>
      </c>
      <c r="P62" s="353">
        <f>'สงม. 2 เทศกิจ'!D11</f>
        <v>890800</v>
      </c>
      <c r="Q62" s="353">
        <f t="shared" si="7"/>
        <v>-448653</v>
      </c>
      <c r="R62" s="353">
        <f>'สงม. 2 เทศกิจ'!E11</f>
        <v>1324700</v>
      </c>
      <c r="S62" s="353">
        <f t="shared" si="4"/>
        <v>-718350</v>
      </c>
      <c r="T62" s="353">
        <f>'สงม. 2 เทศกิจ'!F11</f>
        <v>669000</v>
      </c>
      <c r="U62" s="353">
        <f t="shared" si="5"/>
        <v>-286377</v>
      </c>
      <c r="V62" s="337">
        <f t="shared" si="2"/>
        <v>-1453380</v>
      </c>
    </row>
    <row r="63" spans="1:23" ht="24.95" customHeight="1" x14ac:dyDescent="0.2">
      <c r="A63" s="338" t="s">
        <v>206</v>
      </c>
      <c r="B63" s="335">
        <f t="shared" si="37"/>
        <v>0</v>
      </c>
      <c r="C63" s="335">
        <f t="shared" si="26"/>
        <v>0</v>
      </c>
      <c r="D63" s="426"/>
      <c r="E63" s="426"/>
      <c r="F63" s="426"/>
      <c r="G63" s="426"/>
      <c r="H63" s="411"/>
      <c r="I63" s="411"/>
      <c r="J63" s="411"/>
      <c r="K63" s="411"/>
      <c r="L63" s="397"/>
      <c r="M63" s="397"/>
      <c r="N63" s="397"/>
      <c r="O63" s="397"/>
      <c r="P63" s="352">
        <f>SUM(P64:P65)</f>
        <v>0</v>
      </c>
      <c r="Q63" s="352">
        <f t="shared" si="7"/>
        <v>0</v>
      </c>
      <c r="R63" s="352">
        <f t="shared" ref="R63:T63" si="41">SUM(R64:R65)</f>
        <v>0</v>
      </c>
      <c r="S63" s="352">
        <f t="shared" si="4"/>
        <v>0</v>
      </c>
      <c r="T63" s="352">
        <f t="shared" si="41"/>
        <v>0</v>
      </c>
      <c r="U63" s="352">
        <f t="shared" si="5"/>
        <v>0</v>
      </c>
      <c r="V63" s="337">
        <f t="shared" si="2"/>
        <v>0</v>
      </c>
    </row>
    <row r="64" spans="1:23" ht="24.95" customHeight="1" x14ac:dyDescent="0.2">
      <c r="A64" s="285" t="s">
        <v>48</v>
      </c>
      <c r="B64" s="339">
        <f t="shared" si="37"/>
        <v>0</v>
      </c>
      <c r="C64" s="339">
        <f t="shared" si="26"/>
        <v>0</v>
      </c>
      <c r="D64" s="427"/>
      <c r="E64" s="427"/>
      <c r="F64" s="427">
        <f>P64</f>
        <v>0</v>
      </c>
      <c r="G64" s="427"/>
      <c r="H64" s="412">
        <f>O64</f>
        <v>0</v>
      </c>
      <c r="I64" s="412"/>
      <c r="J64" s="412"/>
      <c r="K64" s="412">
        <f>R64</f>
        <v>0</v>
      </c>
      <c r="L64" s="398">
        <f>Q64</f>
        <v>0</v>
      </c>
      <c r="M64" s="398"/>
      <c r="N64" s="398"/>
      <c r="O64" s="398">
        <f>T64</f>
        <v>0</v>
      </c>
      <c r="P64" s="353">
        <f>'สงม. 2 เทศกิจ'!D89</f>
        <v>0</v>
      </c>
      <c r="Q64" s="353">
        <f t="shared" si="7"/>
        <v>0</v>
      </c>
      <c r="R64" s="353">
        <f>'สงม. 2 เทศกิจ'!E89</f>
        <v>0</v>
      </c>
      <c r="S64" s="353">
        <f t="shared" si="4"/>
        <v>0</v>
      </c>
      <c r="T64" s="353">
        <f>'สงม. 2 เทศกิจ'!F89</f>
        <v>0</v>
      </c>
      <c r="U64" s="353">
        <f t="shared" si="5"/>
        <v>0</v>
      </c>
      <c r="V64" s="337">
        <f t="shared" si="2"/>
        <v>0</v>
      </c>
      <c r="W64" s="287">
        <f>'สงม.1 (แยกฝ่าย)'!C151+'สงม.1 (แยกฝ่าย)'!D151+'สงม.1 (แยกฝ่าย)'!E151</f>
        <v>2884500</v>
      </c>
    </row>
    <row r="65" spans="1:23" ht="24.95" customHeight="1" x14ac:dyDescent="0.2">
      <c r="A65" s="285" t="s">
        <v>49</v>
      </c>
      <c r="B65" s="339">
        <f t="shared" si="37"/>
        <v>0</v>
      </c>
      <c r="C65" s="339">
        <f t="shared" si="26"/>
        <v>1066680</v>
      </c>
      <c r="D65" s="427">
        <f>P65/4</f>
        <v>0</v>
      </c>
      <c r="E65" s="427">
        <v>106668</v>
      </c>
      <c r="F65" s="427">
        <v>106668</v>
      </c>
      <c r="G65" s="427">
        <v>106668</v>
      </c>
      <c r="H65" s="412">
        <f>R65/4</f>
        <v>0</v>
      </c>
      <c r="I65" s="412">
        <v>145080</v>
      </c>
      <c r="J65" s="412">
        <v>145080</v>
      </c>
      <c r="K65" s="412">
        <v>145080</v>
      </c>
      <c r="L65" s="398">
        <f t="shared" ref="L65" si="42">T65/4</f>
        <v>0</v>
      </c>
      <c r="M65" s="398">
        <v>103812</v>
      </c>
      <c r="N65" s="398">
        <v>103812</v>
      </c>
      <c r="O65" s="398">
        <v>103812</v>
      </c>
      <c r="P65" s="353">
        <f>'สงม. 2 เทศกิจ'!D94</f>
        <v>0</v>
      </c>
      <c r="Q65" s="353">
        <f t="shared" si="7"/>
        <v>320004</v>
      </c>
      <c r="R65" s="353">
        <f>'สงม. 2 เทศกิจ'!E94</f>
        <v>0</v>
      </c>
      <c r="S65" s="353">
        <f t="shared" si="4"/>
        <v>435240</v>
      </c>
      <c r="T65" s="353">
        <f>'สงม. 2 เทศกิจ'!F94</f>
        <v>0</v>
      </c>
      <c r="U65" s="353">
        <f t="shared" si="5"/>
        <v>311436</v>
      </c>
      <c r="V65" s="337">
        <f t="shared" si="2"/>
        <v>1066680</v>
      </c>
      <c r="W65" s="287" t="e">
        <f>P59+R59+T59</f>
        <v>#REF!</v>
      </c>
    </row>
    <row r="66" spans="1:23" x14ac:dyDescent="0.2">
      <c r="Q66" s="348">
        <f t="shared" si="7"/>
        <v>0</v>
      </c>
      <c r="S66" s="348">
        <f t="shared" si="4"/>
        <v>0</v>
      </c>
      <c r="U66" s="348">
        <f t="shared" si="5"/>
        <v>0</v>
      </c>
      <c r="V66" s="337">
        <f t="shared" si="2"/>
        <v>0</v>
      </c>
    </row>
    <row r="67" spans="1:23" x14ac:dyDescent="0.2">
      <c r="Q67" s="348">
        <f t="shared" si="7"/>
        <v>0</v>
      </c>
      <c r="S67" s="348">
        <f t="shared" si="4"/>
        <v>0</v>
      </c>
      <c r="U67" s="348">
        <f t="shared" si="5"/>
        <v>0</v>
      </c>
      <c r="V67" s="337">
        <f t="shared" si="2"/>
        <v>0</v>
      </c>
    </row>
    <row r="68" spans="1:23" x14ac:dyDescent="0.2">
      <c r="Q68" s="348">
        <f t="shared" si="7"/>
        <v>0</v>
      </c>
      <c r="S68" s="348">
        <f t="shared" si="4"/>
        <v>0</v>
      </c>
      <c r="U68" s="348">
        <f t="shared" si="5"/>
        <v>0</v>
      </c>
      <c r="V68" s="337">
        <f t="shared" si="2"/>
        <v>0</v>
      </c>
    </row>
    <row r="69" spans="1:23" x14ac:dyDescent="0.2">
      <c r="Q69" s="348">
        <f t="shared" si="7"/>
        <v>0</v>
      </c>
      <c r="S69" s="348">
        <f t="shared" si="4"/>
        <v>0</v>
      </c>
      <c r="U69" s="348">
        <f t="shared" si="5"/>
        <v>0</v>
      </c>
      <c r="V69" s="337">
        <f t="shared" si="2"/>
        <v>0</v>
      </c>
    </row>
    <row r="70" spans="1:23" x14ac:dyDescent="0.2">
      <c r="Q70" s="348">
        <f t="shared" si="7"/>
        <v>0</v>
      </c>
      <c r="S70" s="348">
        <f t="shared" si="4"/>
        <v>0</v>
      </c>
      <c r="U70" s="348">
        <f t="shared" si="5"/>
        <v>0</v>
      </c>
      <c r="V70" s="337">
        <f t="shared" si="2"/>
        <v>0</v>
      </c>
    </row>
    <row r="71" spans="1:23" x14ac:dyDescent="0.2">
      <c r="Q71" s="348">
        <f t="shared" si="7"/>
        <v>0</v>
      </c>
      <c r="S71" s="348">
        <f t="shared" si="4"/>
        <v>0</v>
      </c>
      <c r="U71" s="348">
        <f t="shared" si="5"/>
        <v>0</v>
      </c>
      <c r="V71" s="337">
        <f t="shared" si="2"/>
        <v>0</v>
      </c>
    </row>
    <row r="72" spans="1:23" x14ac:dyDescent="0.2">
      <c r="Q72" s="348">
        <f t="shared" si="7"/>
        <v>0</v>
      </c>
      <c r="S72" s="348">
        <f t="shared" si="4"/>
        <v>0</v>
      </c>
      <c r="U72" s="348">
        <f t="shared" si="5"/>
        <v>0</v>
      </c>
      <c r="V72" s="337">
        <f t="shared" si="2"/>
        <v>0</v>
      </c>
    </row>
    <row r="73" spans="1:23" x14ac:dyDescent="0.2">
      <c r="Q73" s="348">
        <f t="shared" si="7"/>
        <v>0</v>
      </c>
      <c r="S73" s="348">
        <f t="shared" si="4"/>
        <v>0</v>
      </c>
      <c r="U73" s="348">
        <f t="shared" si="5"/>
        <v>0</v>
      </c>
      <c r="V73" s="337">
        <f t="shared" ref="V73:V136" si="43">SUM(D73:O73)-B73</f>
        <v>0</v>
      </c>
    </row>
    <row r="74" spans="1:23" ht="24.95" customHeight="1" x14ac:dyDescent="0.2">
      <c r="A74" s="298"/>
      <c r="B74" s="299"/>
      <c r="C74" s="299"/>
      <c r="D74" s="428"/>
      <c r="E74" s="428"/>
      <c r="F74" s="428"/>
      <c r="G74" s="428"/>
      <c r="H74" s="413"/>
      <c r="I74" s="413"/>
      <c r="J74" s="413"/>
      <c r="K74" s="413"/>
      <c r="L74" s="399"/>
      <c r="M74" s="399"/>
      <c r="N74" s="399"/>
      <c r="O74" s="399"/>
      <c r="P74" s="355"/>
      <c r="Q74" s="355">
        <f t="shared" si="7"/>
        <v>0</v>
      </c>
      <c r="R74" s="355"/>
      <c r="S74" s="355">
        <f t="shared" si="4"/>
        <v>0</v>
      </c>
      <c r="T74" s="355"/>
      <c r="U74" s="355">
        <f t="shared" si="5"/>
        <v>0</v>
      </c>
      <c r="V74" s="337">
        <f t="shared" si="43"/>
        <v>0</v>
      </c>
    </row>
    <row r="75" spans="1:23" ht="24.75" customHeight="1" x14ac:dyDescent="0.2">
      <c r="A75" s="298"/>
      <c r="B75" s="299"/>
      <c r="C75" s="299"/>
      <c r="D75" s="428"/>
      <c r="E75" s="428"/>
      <c r="F75" s="428"/>
      <c r="G75" s="428"/>
      <c r="H75" s="413"/>
      <c r="I75" s="413"/>
      <c r="J75" s="413"/>
      <c r="K75" s="413"/>
      <c r="L75" s="399"/>
      <c r="M75" s="399"/>
      <c r="N75" s="399"/>
      <c r="O75" s="399"/>
      <c r="P75" s="355"/>
      <c r="Q75" s="355">
        <f t="shared" ref="Q75:Q138" si="44">D75+E75+F75+G75-P75</f>
        <v>0</v>
      </c>
      <c r="R75" s="355"/>
      <c r="S75" s="355">
        <f t="shared" ref="S75:S138" si="45">H75+I75+J75+K75-R75</f>
        <v>0</v>
      </c>
      <c r="T75" s="356" t="s">
        <v>233</v>
      </c>
      <c r="U75" s="355" t="e">
        <f t="shared" ref="U75:U138" si="46">L75+M75+N75+O75-T75</f>
        <v>#VALUE!</v>
      </c>
      <c r="V75" s="337">
        <f t="shared" si="43"/>
        <v>0</v>
      </c>
    </row>
    <row r="76" spans="1:23" ht="24.75" customHeight="1" x14ac:dyDescent="0.25">
      <c r="A76" s="122"/>
      <c r="B76" s="122"/>
      <c r="C76" s="122"/>
      <c r="D76" s="424"/>
      <c r="E76" s="424"/>
      <c r="F76" s="424"/>
      <c r="G76" s="424"/>
      <c r="H76" s="409"/>
      <c r="I76" s="409"/>
      <c r="J76" s="409"/>
      <c r="K76" s="409"/>
      <c r="L76" s="395"/>
      <c r="M76" s="395"/>
      <c r="N76" s="395"/>
      <c r="O76" s="395"/>
      <c r="P76" s="349"/>
      <c r="Q76" s="349">
        <f t="shared" si="44"/>
        <v>0</v>
      </c>
      <c r="R76" s="349"/>
      <c r="S76" s="349">
        <f t="shared" si="45"/>
        <v>0</v>
      </c>
      <c r="T76" s="350" t="s">
        <v>28</v>
      </c>
      <c r="U76" s="349" t="e">
        <f t="shared" si="46"/>
        <v>#VALUE!</v>
      </c>
      <c r="V76" s="337">
        <f t="shared" si="43"/>
        <v>0</v>
      </c>
    </row>
    <row r="77" spans="1:23" ht="24.95" customHeight="1" x14ac:dyDescent="0.2">
      <c r="A77" s="671" t="s">
        <v>190</v>
      </c>
      <c r="B77" s="239" t="s">
        <v>1</v>
      </c>
      <c r="C77" s="239"/>
      <c r="D77" s="332">
        <v>23651</v>
      </c>
      <c r="E77" s="332">
        <v>23682</v>
      </c>
      <c r="F77" s="332">
        <v>23712</v>
      </c>
      <c r="G77" s="332">
        <v>23743</v>
      </c>
      <c r="H77" s="333">
        <v>23774</v>
      </c>
      <c r="I77" s="333">
        <v>23802</v>
      </c>
      <c r="J77" s="333">
        <v>23833</v>
      </c>
      <c r="K77" s="333">
        <v>23863</v>
      </c>
      <c r="L77" s="376">
        <v>23894</v>
      </c>
      <c r="M77" s="376">
        <v>23924</v>
      </c>
      <c r="N77" s="376">
        <v>23955</v>
      </c>
      <c r="O77" s="376">
        <v>23986</v>
      </c>
      <c r="P77" s="351" t="s">
        <v>191</v>
      </c>
      <c r="Q77" s="351" t="e">
        <f t="shared" si="44"/>
        <v>#VALUE!</v>
      </c>
      <c r="R77" s="351" t="s">
        <v>192</v>
      </c>
      <c r="S77" s="351" t="e">
        <f t="shared" si="45"/>
        <v>#VALUE!</v>
      </c>
      <c r="T77" s="351" t="s">
        <v>193</v>
      </c>
      <c r="U77" s="351" t="e">
        <f t="shared" si="46"/>
        <v>#VALUE!</v>
      </c>
      <c r="V77" s="337" t="e">
        <f t="shared" si="43"/>
        <v>#VALUE!</v>
      </c>
    </row>
    <row r="78" spans="1:23" s="240" customFormat="1" ht="24.95" customHeight="1" x14ac:dyDescent="0.2">
      <c r="A78" s="671"/>
      <c r="B78" s="239" t="s">
        <v>2</v>
      </c>
      <c r="C78" s="239"/>
      <c r="D78" s="425"/>
      <c r="E78" s="425"/>
      <c r="F78" s="425"/>
      <c r="G78" s="425"/>
      <c r="H78" s="410"/>
      <c r="I78" s="410"/>
      <c r="J78" s="410"/>
      <c r="K78" s="410"/>
      <c r="L78" s="396"/>
      <c r="M78" s="396"/>
      <c r="N78" s="396"/>
      <c r="O78" s="396"/>
      <c r="P78" s="351" t="s">
        <v>2</v>
      </c>
      <c r="Q78" s="351" t="e">
        <f t="shared" si="44"/>
        <v>#VALUE!</v>
      </c>
      <c r="R78" s="351" t="s">
        <v>2</v>
      </c>
      <c r="S78" s="351" t="e">
        <f t="shared" si="45"/>
        <v>#VALUE!</v>
      </c>
      <c r="T78" s="351" t="s">
        <v>2</v>
      </c>
      <c r="U78" s="351" t="e">
        <f t="shared" si="46"/>
        <v>#VALUE!</v>
      </c>
      <c r="V78" s="337" t="e">
        <f t="shared" si="43"/>
        <v>#VALUE!</v>
      </c>
    </row>
    <row r="79" spans="1:23" ht="24.95" customHeight="1" x14ac:dyDescent="0.2">
      <c r="A79" s="340" t="s">
        <v>182</v>
      </c>
      <c r="B79" s="341"/>
      <c r="C79" s="341"/>
      <c r="D79" s="429"/>
      <c r="E79" s="429"/>
      <c r="F79" s="429"/>
      <c r="G79" s="429"/>
      <c r="H79" s="414"/>
      <c r="I79" s="414"/>
      <c r="J79" s="414"/>
      <c r="K79" s="414"/>
      <c r="L79" s="400"/>
      <c r="M79" s="400"/>
      <c r="N79" s="400"/>
      <c r="O79" s="400"/>
      <c r="P79" s="357"/>
      <c r="Q79" s="357">
        <f t="shared" si="44"/>
        <v>0</v>
      </c>
      <c r="R79" s="357"/>
      <c r="S79" s="357">
        <f t="shared" si="45"/>
        <v>0</v>
      </c>
      <c r="T79" s="357"/>
      <c r="U79" s="357">
        <f t="shared" si="46"/>
        <v>0</v>
      </c>
      <c r="V79" s="337">
        <f t="shared" si="43"/>
        <v>0</v>
      </c>
    </row>
    <row r="80" spans="1:23" ht="24.95" customHeight="1" x14ac:dyDescent="0.2">
      <c r="A80" s="336" t="s">
        <v>194</v>
      </c>
      <c r="B80" s="335" t="e">
        <f t="shared" ref="B80:B95" si="47">P80+R80+T80</f>
        <v>#REF!</v>
      </c>
      <c r="C80" s="335"/>
      <c r="D80" s="426"/>
      <c r="E80" s="426"/>
      <c r="F80" s="426"/>
      <c r="G80" s="426"/>
      <c r="H80" s="411"/>
      <c r="I80" s="411"/>
      <c r="J80" s="411"/>
      <c r="K80" s="411"/>
      <c r="L80" s="397"/>
      <c r="M80" s="397"/>
      <c r="N80" s="397"/>
      <c r="O80" s="397"/>
      <c r="P80" s="352" t="e">
        <f>P81+P84+P87+P91</f>
        <v>#REF!</v>
      </c>
      <c r="Q80" s="352" t="e">
        <f t="shared" si="44"/>
        <v>#REF!</v>
      </c>
      <c r="R80" s="352" t="e">
        <f>R81+R84+R87+R91</f>
        <v>#REF!</v>
      </c>
      <c r="S80" s="352" t="e">
        <f t="shared" si="45"/>
        <v>#REF!</v>
      </c>
      <c r="T80" s="352" t="e">
        <f>T81+T84+T87+T91</f>
        <v>#REF!</v>
      </c>
      <c r="U80" s="352" t="e">
        <f t="shared" si="46"/>
        <v>#REF!</v>
      </c>
      <c r="V80" s="337" t="e">
        <f t="shared" si="43"/>
        <v>#REF!</v>
      </c>
    </row>
    <row r="81" spans="1:23" ht="24.95" customHeight="1" x14ac:dyDescent="0.2">
      <c r="A81" s="338" t="s">
        <v>207</v>
      </c>
      <c r="B81" s="335" t="e">
        <f t="shared" si="47"/>
        <v>#REF!</v>
      </c>
      <c r="C81" s="335"/>
      <c r="D81" s="426"/>
      <c r="E81" s="426"/>
      <c r="F81" s="426"/>
      <c r="G81" s="426"/>
      <c r="H81" s="411"/>
      <c r="I81" s="411"/>
      <c r="J81" s="411"/>
      <c r="K81" s="411"/>
      <c r="L81" s="397"/>
      <c r="M81" s="397"/>
      <c r="N81" s="397"/>
      <c r="O81" s="397"/>
      <c r="P81" s="352" t="e">
        <f>SUM(P82:P83)</f>
        <v>#REF!</v>
      </c>
      <c r="Q81" s="352" t="e">
        <f t="shared" si="44"/>
        <v>#REF!</v>
      </c>
      <c r="R81" s="352" t="e">
        <f>SUM(R82:R83)</f>
        <v>#REF!</v>
      </c>
      <c r="S81" s="352" t="e">
        <f t="shared" si="45"/>
        <v>#REF!</v>
      </c>
      <c r="T81" s="352" t="e">
        <f>SUM(T82:T83)</f>
        <v>#REF!</v>
      </c>
      <c r="U81" s="352" t="e">
        <f t="shared" si="46"/>
        <v>#REF!</v>
      </c>
      <c r="V81" s="337" t="e">
        <f t="shared" si="43"/>
        <v>#REF!</v>
      </c>
    </row>
    <row r="82" spans="1:23" ht="24.95" customHeight="1" x14ac:dyDescent="0.2">
      <c r="A82" s="285" t="s">
        <v>48</v>
      </c>
      <c r="B82" s="339" t="e">
        <f t="shared" si="47"/>
        <v>#REF!</v>
      </c>
      <c r="C82" s="339" t="e">
        <f>SUM(D82:O82)</f>
        <v>#REF!</v>
      </c>
      <c r="D82" s="427"/>
      <c r="E82" s="427"/>
      <c r="F82" s="427" t="e">
        <f>P82</f>
        <v>#REF!</v>
      </c>
      <c r="G82" s="427"/>
      <c r="H82" s="412">
        <v>0</v>
      </c>
      <c r="I82" s="412"/>
      <c r="J82" s="412"/>
      <c r="K82" s="412" t="e">
        <f>R82</f>
        <v>#REF!</v>
      </c>
      <c r="L82" s="398" t="e">
        <f>Q82</f>
        <v>#REF!</v>
      </c>
      <c r="M82" s="398"/>
      <c r="N82" s="398"/>
      <c r="O82" s="398" t="e">
        <f>T82</f>
        <v>#REF!</v>
      </c>
      <c r="P82" s="353" t="e">
        <f>'สงม. 2 โยธา'!#REF!</f>
        <v>#REF!</v>
      </c>
      <c r="Q82" s="353" t="e">
        <f t="shared" si="44"/>
        <v>#REF!</v>
      </c>
      <c r="R82" s="353" t="e">
        <f>'สงม. 2 โยธา'!#REF!</f>
        <v>#REF!</v>
      </c>
      <c r="S82" s="353" t="e">
        <f t="shared" si="45"/>
        <v>#REF!</v>
      </c>
      <c r="T82" s="353" t="e">
        <f>'สงม. 2 โยธา'!#REF!</f>
        <v>#REF!</v>
      </c>
      <c r="U82" s="353" t="e">
        <f t="shared" si="46"/>
        <v>#REF!</v>
      </c>
      <c r="V82" s="337" t="e">
        <f t="shared" si="43"/>
        <v>#REF!</v>
      </c>
    </row>
    <row r="83" spans="1:23" ht="24.95" customHeight="1" x14ac:dyDescent="0.2">
      <c r="A83" s="285" t="s">
        <v>49</v>
      </c>
      <c r="B83" s="339">
        <f t="shared" si="47"/>
        <v>1318400</v>
      </c>
      <c r="C83" s="339">
        <f t="shared" ref="C83:C103" si="48">SUM(D83:O83)</f>
        <v>1677500</v>
      </c>
      <c r="D83" s="427">
        <f>P83/4</f>
        <v>146850</v>
      </c>
      <c r="E83" s="427">
        <v>376725</v>
      </c>
      <c r="F83" s="427">
        <v>376725</v>
      </c>
      <c r="G83" s="427">
        <v>376725</v>
      </c>
      <c r="H83" s="412">
        <f>R83/4</f>
        <v>92400</v>
      </c>
      <c r="I83" s="412">
        <v>45145</v>
      </c>
      <c r="J83" s="412">
        <v>45145</v>
      </c>
      <c r="K83" s="412">
        <v>45145</v>
      </c>
      <c r="L83" s="398">
        <f t="shared" ref="L83" si="49">T83/4</f>
        <v>90350</v>
      </c>
      <c r="M83" s="398">
        <v>27430</v>
      </c>
      <c r="N83" s="398">
        <v>27430</v>
      </c>
      <c r="O83" s="398">
        <v>27430</v>
      </c>
      <c r="P83" s="353">
        <f>'สงม. 2 โยธา'!D11</f>
        <v>587400</v>
      </c>
      <c r="Q83" s="353">
        <f t="shared" si="44"/>
        <v>689625</v>
      </c>
      <c r="R83" s="353">
        <f>'สงม. 2 โยธา'!E11</f>
        <v>369600</v>
      </c>
      <c r="S83" s="353">
        <f t="shared" si="45"/>
        <v>-141765</v>
      </c>
      <c r="T83" s="353">
        <f>'สงม. 2 โยธา'!F11</f>
        <v>361400</v>
      </c>
      <c r="U83" s="353">
        <f t="shared" si="46"/>
        <v>-188760</v>
      </c>
      <c r="V83" s="337">
        <f t="shared" si="43"/>
        <v>359100</v>
      </c>
    </row>
    <row r="84" spans="1:23" ht="24.95" customHeight="1" x14ac:dyDescent="0.2">
      <c r="A84" s="338" t="s">
        <v>208</v>
      </c>
      <c r="B84" s="335" t="e">
        <f t="shared" si="47"/>
        <v>#REF!</v>
      </c>
      <c r="C84" s="335">
        <f t="shared" si="48"/>
        <v>0</v>
      </c>
      <c r="D84" s="426"/>
      <c r="E84" s="426"/>
      <c r="F84" s="426"/>
      <c r="G84" s="426"/>
      <c r="H84" s="411"/>
      <c r="I84" s="411"/>
      <c r="J84" s="411"/>
      <c r="K84" s="411"/>
      <c r="L84" s="397"/>
      <c r="M84" s="397"/>
      <c r="N84" s="397"/>
      <c r="O84" s="397"/>
      <c r="P84" s="352" t="e">
        <f>SUM(P85:P86)</f>
        <v>#REF!</v>
      </c>
      <c r="Q84" s="352" t="e">
        <f t="shared" si="44"/>
        <v>#REF!</v>
      </c>
      <c r="R84" s="352" t="e">
        <f>SUM(R85:R86)</f>
        <v>#REF!</v>
      </c>
      <c r="S84" s="352" t="e">
        <f t="shared" si="45"/>
        <v>#REF!</v>
      </c>
      <c r="T84" s="352" t="e">
        <f>SUM(T85:T86)</f>
        <v>#REF!</v>
      </c>
      <c r="U84" s="352" t="e">
        <f t="shared" si="46"/>
        <v>#REF!</v>
      </c>
      <c r="V84" s="337" t="e">
        <f t="shared" si="43"/>
        <v>#REF!</v>
      </c>
    </row>
    <row r="85" spans="1:23" ht="24.95" customHeight="1" x14ac:dyDescent="0.2">
      <c r="A85" s="285" t="s">
        <v>48</v>
      </c>
      <c r="B85" s="339" t="e">
        <f t="shared" si="47"/>
        <v>#REF!</v>
      </c>
      <c r="C85" s="339" t="e">
        <f t="shared" si="48"/>
        <v>#REF!</v>
      </c>
      <c r="D85" s="427"/>
      <c r="E85" s="427"/>
      <c r="F85" s="427" t="e">
        <f>P85</f>
        <v>#REF!</v>
      </c>
      <c r="G85" s="427"/>
      <c r="H85" s="412">
        <v>0</v>
      </c>
      <c r="I85" s="412"/>
      <c r="J85" s="412"/>
      <c r="K85" s="412" t="e">
        <f>R85</f>
        <v>#REF!</v>
      </c>
      <c r="L85" s="398" t="e">
        <f>Q85</f>
        <v>#REF!</v>
      </c>
      <c r="M85" s="398"/>
      <c r="N85" s="398"/>
      <c r="O85" s="398" t="e">
        <f>T85</f>
        <v>#REF!</v>
      </c>
      <c r="P85" s="353" t="e">
        <f>'สงม. 2 โยธา'!#REF!</f>
        <v>#REF!</v>
      </c>
      <c r="Q85" s="353" t="e">
        <f t="shared" si="44"/>
        <v>#REF!</v>
      </c>
      <c r="R85" s="353" t="e">
        <f>'สงม. 2 โยธา'!#REF!</f>
        <v>#REF!</v>
      </c>
      <c r="S85" s="353" t="e">
        <f t="shared" si="45"/>
        <v>#REF!</v>
      </c>
      <c r="T85" s="353" t="e">
        <f>'สงม. 2 โยธา'!#REF!</f>
        <v>#REF!</v>
      </c>
      <c r="U85" s="353" t="e">
        <f t="shared" si="46"/>
        <v>#REF!</v>
      </c>
      <c r="V85" s="337" t="e">
        <f t="shared" si="43"/>
        <v>#REF!</v>
      </c>
    </row>
    <row r="86" spans="1:23" ht="24.95" customHeight="1" x14ac:dyDescent="0.2">
      <c r="A86" s="285" t="s">
        <v>49</v>
      </c>
      <c r="B86" s="339">
        <f t="shared" si="47"/>
        <v>450000</v>
      </c>
      <c r="C86" s="339">
        <f t="shared" si="48"/>
        <v>3485062.5</v>
      </c>
      <c r="D86" s="427">
        <f>P86/4</f>
        <v>112500</v>
      </c>
      <c r="E86" s="427">
        <v>359520</v>
      </c>
      <c r="F86" s="427">
        <v>359520</v>
      </c>
      <c r="G86" s="427">
        <v>359520</v>
      </c>
      <c r="H86" s="412">
        <f>R86/4</f>
        <v>0</v>
      </c>
      <c r="I86" s="412">
        <v>692290</v>
      </c>
      <c r="J86" s="412">
        <v>692290</v>
      </c>
      <c r="K86" s="412">
        <v>692290</v>
      </c>
      <c r="L86" s="398">
        <f t="shared" ref="L86" si="50">T86/4</f>
        <v>0</v>
      </c>
      <c r="M86" s="398">
        <v>72377.5</v>
      </c>
      <c r="N86" s="398">
        <v>72377.5</v>
      </c>
      <c r="O86" s="398">
        <v>72377.5</v>
      </c>
      <c r="P86" s="353">
        <f>'สงม. 2 โยธา'!D41</f>
        <v>450000</v>
      </c>
      <c r="Q86" s="353">
        <f t="shared" si="44"/>
        <v>741060</v>
      </c>
      <c r="R86" s="353">
        <f>'สงม. 2 โยธา'!E41</f>
        <v>0</v>
      </c>
      <c r="S86" s="353">
        <f t="shared" si="45"/>
        <v>2076870</v>
      </c>
      <c r="T86" s="353">
        <f>'สงม. 2 โยธา'!F41</f>
        <v>0</v>
      </c>
      <c r="U86" s="353">
        <f t="shared" si="46"/>
        <v>217132.5</v>
      </c>
      <c r="V86" s="337">
        <f t="shared" si="43"/>
        <v>3035062.5</v>
      </c>
    </row>
    <row r="87" spans="1:23" ht="24.95" customHeight="1" x14ac:dyDescent="0.2">
      <c r="A87" s="338" t="s">
        <v>209</v>
      </c>
      <c r="B87" s="335" t="e">
        <f t="shared" si="47"/>
        <v>#REF!</v>
      </c>
      <c r="C87" s="335">
        <f t="shared" si="48"/>
        <v>0</v>
      </c>
      <c r="D87" s="426"/>
      <c r="E87" s="426"/>
      <c r="F87" s="426"/>
      <c r="G87" s="426"/>
      <c r="H87" s="411"/>
      <c r="I87" s="411"/>
      <c r="J87" s="411"/>
      <c r="K87" s="411"/>
      <c r="L87" s="397"/>
      <c r="M87" s="397"/>
      <c r="N87" s="397"/>
      <c r="O87" s="397"/>
      <c r="P87" s="352" t="e">
        <f>SUM(P88:P90)</f>
        <v>#REF!</v>
      </c>
      <c r="Q87" s="352" t="e">
        <f t="shared" si="44"/>
        <v>#REF!</v>
      </c>
      <c r="R87" s="352" t="e">
        <f t="shared" ref="R87:T87" si="51">SUM(R88:R90)</f>
        <v>#REF!</v>
      </c>
      <c r="S87" s="352" t="e">
        <f t="shared" si="45"/>
        <v>#REF!</v>
      </c>
      <c r="T87" s="352" t="e">
        <f t="shared" si="51"/>
        <v>#REF!</v>
      </c>
      <c r="U87" s="352" t="e">
        <f t="shared" si="46"/>
        <v>#REF!</v>
      </c>
      <c r="V87" s="337" t="e">
        <f t="shared" si="43"/>
        <v>#REF!</v>
      </c>
    </row>
    <row r="88" spans="1:23" ht="24.95" customHeight="1" x14ac:dyDescent="0.2">
      <c r="A88" s="285" t="s">
        <v>48</v>
      </c>
      <c r="B88" s="339" t="e">
        <f t="shared" si="47"/>
        <v>#REF!</v>
      </c>
      <c r="C88" s="339" t="e">
        <f t="shared" si="48"/>
        <v>#REF!</v>
      </c>
      <c r="D88" s="427"/>
      <c r="E88" s="427"/>
      <c r="F88" s="427" t="e">
        <f>P88</f>
        <v>#REF!</v>
      </c>
      <c r="G88" s="427"/>
      <c r="H88" s="412">
        <v>0</v>
      </c>
      <c r="I88" s="412"/>
      <c r="J88" s="412"/>
      <c r="K88" s="412" t="e">
        <f>R88</f>
        <v>#REF!</v>
      </c>
      <c r="L88" s="398" t="e">
        <f>Q88</f>
        <v>#REF!</v>
      </c>
      <c r="M88" s="398"/>
      <c r="N88" s="398"/>
      <c r="O88" s="398" t="e">
        <f>T88</f>
        <v>#REF!</v>
      </c>
      <c r="P88" s="353" t="e">
        <f>'สงม. 2 โยธา'!#REF!</f>
        <v>#REF!</v>
      </c>
      <c r="Q88" s="353" t="e">
        <f t="shared" si="44"/>
        <v>#REF!</v>
      </c>
      <c r="R88" s="353" t="e">
        <f>'สงม. 2 โยธา'!#REF!</f>
        <v>#REF!</v>
      </c>
      <c r="S88" s="353" t="e">
        <f t="shared" si="45"/>
        <v>#REF!</v>
      </c>
      <c r="T88" s="353" t="e">
        <f>'สงม. 2 โยธา'!#REF!</f>
        <v>#REF!</v>
      </c>
      <c r="U88" s="353" t="e">
        <f t="shared" si="46"/>
        <v>#REF!</v>
      </c>
      <c r="V88" s="337" t="e">
        <f t="shared" si="43"/>
        <v>#REF!</v>
      </c>
    </row>
    <row r="89" spans="1:23" ht="24.95" customHeight="1" x14ac:dyDescent="0.2">
      <c r="A89" s="285" t="s">
        <v>49</v>
      </c>
      <c r="B89" s="339">
        <f t="shared" si="47"/>
        <v>19000000</v>
      </c>
      <c r="C89" s="339">
        <f t="shared" si="48"/>
        <v>6746582.5</v>
      </c>
      <c r="D89" s="427">
        <f t="shared" ref="D89:D90" si="52">P89/4</f>
        <v>4125000</v>
      </c>
      <c r="E89" s="427">
        <v>17750</v>
      </c>
      <c r="F89" s="427">
        <v>17750</v>
      </c>
      <c r="G89" s="427">
        <v>17750</v>
      </c>
      <c r="H89" s="412">
        <f t="shared" ref="H89:H90" si="53">R89/4</f>
        <v>625000</v>
      </c>
      <c r="I89" s="412">
        <v>551757.5</v>
      </c>
      <c r="J89" s="412">
        <v>551757.5</v>
      </c>
      <c r="K89" s="412">
        <v>551757.5</v>
      </c>
      <c r="L89" s="398">
        <f t="shared" ref="L89:L90" si="54">T89/4</f>
        <v>0</v>
      </c>
      <c r="M89" s="398">
        <v>96020</v>
      </c>
      <c r="N89" s="398">
        <v>96020</v>
      </c>
      <c r="O89" s="398">
        <v>96020</v>
      </c>
      <c r="P89" s="353">
        <f>'สงม. 2 โยธา'!D66</f>
        <v>16500000</v>
      </c>
      <c r="Q89" s="353">
        <f t="shared" si="44"/>
        <v>-12321750</v>
      </c>
      <c r="R89" s="353">
        <f>'สงม. 2 โยธา'!E66</f>
        <v>2500000</v>
      </c>
      <c r="S89" s="353">
        <f t="shared" si="45"/>
        <v>-219727.5</v>
      </c>
      <c r="T89" s="353">
        <f>'สงม. 2 โยธา'!F66</f>
        <v>0</v>
      </c>
      <c r="U89" s="353">
        <f t="shared" si="46"/>
        <v>288060</v>
      </c>
      <c r="V89" s="337">
        <f t="shared" si="43"/>
        <v>-12253417.5</v>
      </c>
    </row>
    <row r="90" spans="1:23" ht="24.95" customHeight="1" x14ac:dyDescent="0.2">
      <c r="A90" s="285" t="s">
        <v>53</v>
      </c>
      <c r="B90" s="339" t="e">
        <f t="shared" si="47"/>
        <v>#REF!</v>
      </c>
      <c r="C90" s="339" t="e">
        <f t="shared" si="48"/>
        <v>#REF!</v>
      </c>
      <c r="D90" s="427" t="e">
        <f t="shared" si="52"/>
        <v>#REF!</v>
      </c>
      <c r="E90" s="427">
        <v>250000</v>
      </c>
      <c r="F90" s="427">
        <v>250000</v>
      </c>
      <c r="G90" s="427">
        <v>250000</v>
      </c>
      <c r="H90" s="412" t="e">
        <f t="shared" si="53"/>
        <v>#REF!</v>
      </c>
      <c r="I90" s="412">
        <v>250000</v>
      </c>
      <c r="J90" s="412">
        <v>250000</v>
      </c>
      <c r="K90" s="412">
        <v>250000</v>
      </c>
      <c r="L90" s="398" t="e">
        <f t="shared" si="54"/>
        <v>#REF!</v>
      </c>
      <c r="M90" s="398">
        <v>250000</v>
      </c>
      <c r="N90" s="398">
        <v>250000</v>
      </c>
      <c r="O90" s="398">
        <v>250000</v>
      </c>
      <c r="P90" s="353" t="e">
        <f>'สงม. 2 โยธา'!#REF!</f>
        <v>#REF!</v>
      </c>
      <c r="Q90" s="353" t="e">
        <f t="shared" si="44"/>
        <v>#REF!</v>
      </c>
      <c r="R90" s="353" t="e">
        <f>'สงม. 2 โยธา'!#REF!</f>
        <v>#REF!</v>
      </c>
      <c r="S90" s="353" t="e">
        <f t="shared" si="45"/>
        <v>#REF!</v>
      </c>
      <c r="T90" s="353" t="e">
        <f>'สงม. 2 โยธา'!#REF!</f>
        <v>#REF!</v>
      </c>
      <c r="U90" s="353" t="e">
        <f t="shared" si="46"/>
        <v>#REF!</v>
      </c>
      <c r="V90" s="337" t="e">
        <f t="shared" si="43"/>
        <v>#REF!</v>
      </c>
    </row>
    <row r="91" spans="1:23" ht="24.95" customHeight="1" x14ac:dyDescent="0.2">
      <c r="A91" s="338" t="s">
        <v>210</v>
      </c>
      <c r="B91" s="335" t="e">
        <f t="shared" si="47"/>
        <v>#REF!</v>
      </c>
      <c r="C91" s="335">
        <f t="shared" si="48"/>
        <v>0</v>
      </c>
      <c r="D91" s="426"/>
      <c r="E91" s="426"/>
      <c r="F91" s="426"/>
      <c r="G91" s="426"/>
      <c r="H91" s="411"/>
      <c r="I91" s="411"/>
      <c r="J91" s="411"/>
      <c r="K91" s="411"/>
      <c r="L91" s="397"/>
      <c r="M91" s="397"/>
      <c r="N91" s="397"/>
      <c r="O91" s="397"/>
      <c r="P91" s="352" t="e">
        <f>SUM(P92:P93)</f>
        <v>#REF!</v>
      </c>
      <c r="Q91" s="352" t="e">
        <f t="shared" si="44"/>
        <v>#REF!</v>
      </c>
      <c r="R91" s="352" t="e">
        <f t="shared" ref="R91:T91" si="55">SUM(R92:R93)</f>
        <v>#REF!</v>
      </c>
      <c r="S91" s="352" t="e">
        <f t="shared" si="45"/>
        <v>#REF!</v>
      </c>
      <c r="T91" s="352" t="e">
        <f t="shared" si="55"/>
        <v>#REF!</v>
      </c>
      <c r="U91" s="352" t="e">
        <f t="shared" si="46"/>
        <v>#REF!</v>
      </c>
      <c r="V91" s="337" t="e">
        <f t="shared" si="43"/>
        <v>#REF!</v>
      </c>
    </row>
    <row r="92" spans="1:23" ht="24.95" customHeight="1" x14ac:dyDescent="0.2">
      <c r="A92" s="285" t="s">
        <v>48</v>
      </c>
      <c r="B92" s="339" t="e">
        <f t="shared" si="47"/>
        <v>#REF!</v>
      </c>
      <c r="C92" s="339" t="e">
        <f t="shared" si="48"/>
        <v>#REF!</v>
      </c>
      <c r="D92" s="427"/>
      <c r="E92" s="427"/>
      <c r="F92" s="427" t="e">
        <f>P92</f>
        <v>#REF!</v>
      </c>
      <c r="G92" s="427"/>
      <c r="H92" s="412">
        <v>0</v>
      </c>
      <c r="I92" s="412"/>
      <c r="J92" s="412"/>
      <c r="K92" s="412" t="e">
        <f>R92</f>
        <v>#REF!</v>
      </c>
      <c r="L92" s="398" t="e">
        <f>Q92</f>
        <v>#REF!</v>
      </c>
      <c r="M92" s="398"/>
      <c r="N92" s="398"/>
      <c r="O92" s="398" t="e">
        <f>T92</f>
        <v>#REF!</v>
      </c>
      <c r="P92" s="353" t="e">
        <f>'สงม. 2 โยธา'!#REF!</f>
        <v>#REF!</v>
      </c>
      <c r="Q92" s="353" t="e">
        <f t="shared" si="44"/>
        <v>#REF!</v>
      </c>
      <c r="R92" s="353" t="e">
        <f>'สงม. 2 โยธา'!#REF!</f>
        <v>#REF!</v>
      </c>
      <c r="S92" s="353" t="e">
        <f t="shared" si="45"/>
        <v>#REF!</v>
      </c>
      <c r="T92" s="353" t="e">
        <f>'สงม. 2 โยธา'!#REF!</f>
        <v>#REF!</v>
      </c>
      <c r="U92" s="353" t="e">
        <f t="shared" si="46"/>
        <v>#REF!</v>
      </c>
      <c r="V92" s="337" t="e">
        <f t="shared" si="43"/>
        <v>#REF!</v>
      </c>
      <c r="W92" s="287" t="e">
        <f>'สงม.1 (แยกฝ่าย)'!C181+'สงม.1 (แยกฝ่าย)'!D181+'สงม.1 (แยกฝ่าย)'!E181</f>
        <v>#REF!</v>
      </c>
    </row>
    <row r="93" spans="1:23" ht="24.95" customHeight="1" x14ac:dyDescent="0.2">
      <c r="A93" s="285" t="s">
        <v>49</v>
      </c>
      <c r="B93" s="339">
        <f t="shared" si="47"/>
        <v>4680100</v>
      </c>
      <c r="C93" s="339">
        <f t="shared" si="48"/>
        <v>2099425</v>
      </c>
      <c r="D93" s="427">
        <f>P93/4</f>
        <v>1009827.5</v>
      </c>
      <c r="E93" s="427">
        <v>118195</v>
      </c>
      <c r="F93" s="427">
        <v>118195</v>
      </c>
      <c r="G93" s="427">
        <v>118195</v>
      </c>
      <c r="H93" s="412">
        <f>R93/4</f>
        <v>81250</v>
      </c>
      <c r="I93" s="412">
        <v>99790</v>
      </c>
      <c r="J93" s="412">
        <v>99790</v>
      </c>
      <c r="K93" s="412">
        <v>99790</v>
      </c>
      <c r="L93" s="398">
        <f t="shared" ref="L93:L94" si="56">T93/4</f>
        <v>78947.5</v>
      </c>
      <c r="M93" s="398">
        <v>91815</v>
      </c>
      <c r="N93" s="398">
        <v>91815</v>
      </c>
      <c r="O93" s="398">
        <v>91815</v>
      </c>
      <c r="P93" s="353">
        <f>'สงม. 2 โยธา'!D92</f>
        <v>4039310</v>
      </c>
      <c r="Q93" s="353">
        <f t="shared" si="44"/>
        <v>-2674897.5</v>
      </c>
      <c r="R93" s="353">
        <f>'สงม. 2 โยธา'!E92</f>
        <v>325000</v>
      </c>
      <c r="S93" s="353">
        <f t="shared" si="45"/>
        <v>55620</v>
      </c>
      <c r="T93" s="353">
        <f>'สงม. 2 โยธา'!F92</f>
        <v>315790</v>
      </c>
      <c r="U93" s="353">
        <f t="shared" si="46"/>
        <v>38602.5</v>
      </c>
      <c r="V93" s="337">
        <f t="shared" si="43"/>
        <v>-2580675</v>
      </c>
      <c r="W93" s="287" t="e">
        <f>P80+R80+T80</f>
        <v>#REF!</v>
      </c>
    </row>
    <row r="94" spans="1:23" ht="24.95" customHeight="1" x14ac:dyDescent="0.2">
      <c r="A94" s="334" t="s">
        <v>184</v>
      </c>
      <c r="B94" s="335"/>
      <c r="C94" s="335">
        <f t="shared" si="48"/>
        <v>0</v>
      </c>
      <c r="D94" s="426"/>
      <c r="E94" s="426"/>
      <c r="F94" s="426"/>
      <c r="G94" s="426"/>
      <c r="H94" s="411"/>
      <c r="I94" s="411"/>
      <c r="J94" s="411"/>
      <c r="K94" s="411"/>
      <c r="L94" s="398">
        <f t="shared" si="56"/>
        <v>0</v>
      </c>
      <c r="M94" s="397"/>
      <c r="N94" s="397"/>
      <c r="O94" s="397"/>
      <c r="P94" s="352"/>
      <c r="Q94" s="352">
        <f t="shared" si="44"/>
        <v>0</v>
      </c>
      <c r="R94" s="352"/>
      <c r="S94" s="352">
        <f t="shared" si="45"/>
        <v>0</v>
      </c>
      <c r="T94" s="352"/>
      <c r="U94" s="352">
        <f t="shared" si="46"/>
        <v>0</v>
      </c>
      <c r="V94" s="337">
        <f t="shared" si="43"/>
        <v>0</v>
      </c>
    </row>
    <row r="95" spans="1:23" ht="24.95" customHeight="1" x14ac:dyDescent="0.2">
      <c r="A95" s="336" t="s">
        <v>194</v>
      </c>
      <c r="B95" s="335" t="e">
        <f t="shared" si="47"/>
        <v>#REF!</v>
      </c>
      <c r="C95" s="335">
        <f t="shared" si="48"/>
        <v>0</v>
      </c>
      <c r="D95" s="426"/>
      <c r="E95" s="426"/>
      <c r="F95" s="426"/>
      <c r="G95" s="426"/>
      <c r="H95" s="411"/>
      <c r="I95" s="411"/>
      <c r="J95" s="411"/>
      <c r="K95" s="411"/>
      <c r="L95" s="397"/>
      <c r="M95" s="397"/>
      <c r="N95" s="397"/>
      <c r="O95" s="397"/>
      <c r="P95" s="352" t="e">
        <f>P96+P99</f>
        <v>#REF!</v>
      </c>
      <c r="Q95" s="352" t="e">
        <f t="shared" si="44"/>
        <v>#REF!</v>
      </c>
      <c r="R95" s="352" t="e">
        <f t="shared" ref="R95:T95" si="57">R96+R99</f>
        <v>#REF!</v>
      </c>
      <c r="S95" s="352" t="e">
        <f t="shared" si="45"/>
        <v>#REF!</v>
      </c>
      <c r="T95" s="352" t="e">
        <f t="shared" si="57"/>
        <v>#REF!</v>
      </c>
      <c r="U95" s="352" t="e">
        <f t="shared" si="46"/>
        <v>#REF!</v>
      </c>
      <c r="V95" s="337" t="e">
        <f t="shared" si="43"/>
        <v>#REF!</v>
      </c>
    </row>
    <row r="96" spans="1:23" ht="24.95" customHeight="1" x14ac:dyDescent="0.2">
      <c r="A96" s="338" t="s">
        <v>211</v>
      </c>
      <c r="B96" s="335" t="e">
        <f t="shared" ref="B96:B103" si="58">P96+R96+T96</f>
        <v>#REF!</v>
      </c>
      <c r="C96" s="335">
        <f t="shared" si="48"/>
        <v>0</v>
      </c>
      <c r="D96" s="426"/>
      <c r="E96" s="426"/>
      <c r="F96" s="426"/>
      <c r="G96" s="426"/>
      <c r="H96" s="411"/>
      <c r="I96" s="411"/>
      <c r="J96" s="411"/>
      <c r="K96" s="411"/>
      <c r="L96" s="397"/>
      <c r="M96" s="397"/>
      <c r="N96" s="397"/>
      <c r="O96" s="397"/>
      <c r="P96" s="352" t="e">
        <f>SUM(P97:P98)</f>
        <v>#REF!</v>
      </c>
      <c r="Q96" s="352" t="e">
        <f t="shared" si="44"/>
        <v>#REF!</v>
      </c>
      <c r="R96" s="352" t="e">
        <f t="shared" ref="R96:T96" si="59">SUM(R97:R98)</f>
        <v>#REF!</v>
      </c>
      <c r="S96" s="352" t="e">
        <f t="shared" si="45"/>
        <v>#REF!</v>
      </c>
      <c r="T96" s="352" t="e">
        <f t="shared" si="59"/>
        <v>#REF!</v>
      </c>
      <c r="U96" s="352" t="e">
        <f t="shared" si="46"/>
        <v>#REF!</v>
      </c>
      <c r="V96" s="337" t="e">
        <f t="shared" si="43"/>
        <v>#REF!</v>
      </c>
    </row>
    <row r="97" spans="1:23" ht="24.95" customHeight="1" x14ac:dyDescent="0.2">
      <c r="A97" s="285" t="s">
        <v>48</v>
      </c>
      <c r="B97" s="339" t="e">
        <f t="shared" si="58"/>
        <v>#REF!</v>
      </c>
      <c r="C97" s="339" t="e">
        <f t="shared" si="48"/>
        <v>#REF!</v>
      </c>
      <c r="D97" s="427"/>
      <c r="E97" s="427"/>
      <c r="F97" s="427" t="e">
        <f>P97</f>
        <v>#REF!</v>
      </c>
      <c r="G97" s="427"/>
      <c r="H97" s="412">
        <v>0</v>
      </c>
      <c r="I97" s="412"/>
      <c r="J97" s="412"/>
      <c r="K97" s="412" t="e">
        <f>R97</f>
        <v>#REF!</v>
      </c>
      <c r="L97" s="398" t="e">
        <f>Q97</f>
        <v>#REF!</v>
      </c>
      <c r="M97" s="398"/>
      <c r="N97" s="398"/>
      <c r="O97" s="398" t="e">
        <f>T97</f>
        <v>#REF!</v>
      </c>
      <c r="P97" s="353" t="e">
        <f>'สงม. 2 พัฒนาชุมชน'!#REF!</f>
        <v>#REF!</v>
      </c>
      <c r="Q97" s="353" t="e">
        <f t="shared" si="44"/>
        <v>#REF!</v>
      </c>
      <c r="R97" s="353" t="e">
        <f>'สงม. 2 พัฒนาชุมชน'!#REF!</f>
        <v>#REF!</v>
      </c>
      <c r="S97" s="353" t="e">
        <f t="shared" si="45"/>
        <v>#REF!</v>
      </c>
      <c r="T97" s="353" t="e">
        <f>'สงม. 2 พัฒนาชุมชน'!#REF!</f>
        <v>#REF!</v>
      </c>
      <c r="U97" s="353" t="e">
        <f t="shared" si="46"/>
        <v>#REF!</v>
      </c>
      <c r="V97" s="337" t="e">
        <f t="shared" si="43"/>
        <v>#REF!</v>
      </c>
    </row>
    <row r="98" spans="1:23" ht="24.95" customHeight="1" x14ac:dyDescent="0.2">
      <c r="A98" s="285" t="s">
        <v>49</v>
      </c>
      <c r="B98" s="339">
        <f t="shared" si="58"/>
        <v>19238300</v>
      </c>
      <c r="C98" s="339">
        <f t="shared" si="48"/>
        <v>9229985</v>
      </c>
      <c r="D98" s="427">
        <f>P98/4</f>
        <v>1790975</v>
      </c>
      <c r="E98" s="427">
        <v>509417</v>
      </c>
      <c r="F98" s="427">
        <v>509417</v>
      </c>
      <c r="G98" s="427">
        <v>509417</v>
      </c>
      <c r="H98" s="412">
        <f>R98/4</f>
        <v>1515150</v>
      </c>
      <c r="I98" s="412">
        <v>488076.75</v>
      </c>
      <c r="J98" s="412">
        <v>488076.75</v>
      </c>
      <c r="K98" s="412">
        <v>488076.75</v>
      </c>
      <c r="L98" s="398">
        <f t="shared" ref="L98" si="60">T98/4</f>
        <v>1503450</v>
      </c>
      <c r="M98" s="398">
        <v>475976.25</v>
      </c>
      <c r="N98" s="398">
        <v>475976.25</v>
      </c>
      <c r="O98" s="398">
        <v>475976.25</v>
      </c>
      <c r="P98" s="353">
        <f>'สงม. 2 พัฒนาชุมชน'!D11</f>
        <v>7163900</v>
      </c>
      <c r="Q98" s="353">
        <f t="shared" si="44"/>
        <v>-3844674</v>
      </c>
      <c r="R98" s="353">
        <f>'สงม. 2 พัฒนาชุมชน'!E11</f>
        <v>6060600</v>
      </c>
      <c r="S98" s="353">
        <f t="shared" si="45"/>
        <v>-3081219.75</v>
      </c>
      <c r="T98" s="353">
        <f>'สงม. 2 พัฒนาชุมชน'!F11</f>
        <v>6013800</v>
      </c>
      <c r="U98" s="353">
        <f t="shared" si="46"/>
        <v>-3082421.25</v>
      </c>
      <c r="V98" s="337">
        <f t="shared" si="43"/>
        <v>-10008315</v>
      </c>
    </row>
    <row r="99" spans="1:23" ht="24.95" customHeight="1" x14ac:dyDescent="0.2">
      <c r="A99" s="338" t="s">
        <v>212</v>
      </c>
      <c r="B99" s="335" t="e">
        <f t="shared" si="58"/>
        <v>#REF!</v>
      </c>
      <c r="C99" s="335">
        <f t="shared" si="48"/>
        <v>0</v>
      </c>
      <c r="D99" s="426"/>
      <c r="E99" s="426"/>
      <c r="F99" s="426"/>
      <c r="G99" s="426"/>
      <c r="H99" s="411"/>
      <c r="I99" s="411"/>
      <c r="J99" s="411"/>
      <c r="K99" s="411"/>
      <c r="L99" s="397"/>
      <c r="M99" s="397"/>
      <c r="N99" s="397"/>
      <c r="O99" s="397"/>
      <c r="P99" s="352" t="e">
        <f>SUM(P100:P102)</f>
        <v>#REF!</v>
      </c>
      <c r="Q99" s="352" t="e">
        <f t="shared" si="44"/>
        <v>#REF!</v>
      </c>
      <c r="R99" s="352" t="e">
        <f t="shared" ref="R99:T99" si="61">SUM(R100:R102)</f>
        <v>#REF!</v>
      </c>
      <c r="S99" s="352" t="e">
        <f t="shared" si="45"/>
        <v>#REF!</v>
      </c>
      <c r="T99" s="352" t="e">
        <f t="shared" si="61"/>
        <v>#REF!</v>
      </c>
      <c r="U99" s="352" t="e">
        <f t="shared" si="46"/>
        <v>#REF!</v>
      </c>
      <c r="V99" s="337" t="e">
        <f t="shared" si="43"/>
        <v>#REF!</v>
      </c>
    </row>
    <row r="100" spans="1:23" ht="24.95" customHeight="1" x14ac:dyDescent="0.2">
      <c r="A100" s="285" t="s">
        <v>48</v>
      </c>
      <c r="B100" s="339" t="e">
        <f t="shared" si="58"/>
        <v>#REF!</v>
      </c>
      <c r="C100" s="339" t="e">
        <f t="shared" si="48"/>
        <v>#REF!</v>
      </c>
      <c r="D100" s="427"/>
      <c r="E100" s="427"/>
      <c r="F100" s="427" t="e">
        <f>P100</f>
        <v>#REF!</v>
      </c>
      <c r="G100" s="427"/>
      <c r="H100" s="412">
        <v>0</v>
      </c>
      <c r="I100" s="412"/>
      <c r="J100" s="412"/>
      <c r="K100" s="412" t="e">
        <f>R100</f>
        <v>#REF!</v>
      </c>
      <c r="L100" s="398" t="e">
        <f>Q100</f>
        <v>#REF!</v>
      </c>
      <c r="M100" s="398"/>
      <c r="N100" s="398"/>
      <c r="O100" s="398" t="e">
        <f>T100</f>
        <v>#REF!</v>
      </c>
      <c r="P100" s="353" t="e">
        <f>'สงม. 2 พัฒนาชุมชน'!#REF!</f>
        <v>#REF!</v>
      </c>
      <c r="Q100" s="353" t="e">
        <f t="shared" si="44"/>
        <v>#REF!</v>
      </c>
      <c r="R100" s="353" t="e">
        <f>'สงม. 2 พัฒนาชุมชน'!#REF!</f>
        <v>#REF!</v>
      </c>
      <c r="S100" s="353" t="e">
        <f t="shared" si="45"/>
        <v>#REF!</v>
      </c>
      <c r="T100" s="353" t="e">
        <f>'สงม. 2 พัฒนาชุมชน'!#REF!</f>
        <v>#REF!</v>
      </c>
      <c r="U100" s="353" t="e">
        <f t="shared" si="46"/>
        <v>#REF!</v>
      </c>
      <c r="V100" s="337" t="e">
        <f t="shared" si="43"/>
        <v>#REF!</v>
      </c>
    </row>
    <row r="101" spans="1:23" ht="24.95" customHeight="1" x14ac:dyDescent="0.2">
      <c r="A101" s="285" t="s">
        <v>49</v>
      </c>
      <c r="B101" s="339">
        <f t="shared" si="58"/>
        <v>5327900</v>
      </c>
      <c r="C101" s="339">
        <f t="shared" si="48"/>
        <v>7962590</v>
      </c>
      <c r="D101" s="427">
        <f t="shared" ref="D101:D103" si="62">P101/4</f>
        <v>446500</v>
      </c>
      <c r="E101" s="427">
        <v>764125</v>
      </c>
      <c r="F101" s="427">
        <v>764125</v>
      </c>
      <c r="G101" s="427">
        <v>764125</v>
      </c>
      <c r="H101" s="412">
        <f t="shared" ref="H101:H103" si="63">R101/4</f>
        <v>446500</v>
      </c>
      <c r="I101" s="412">
        <v>732115</v>
      </c>
      <c r="J101" s="412">
        <v>732115</v>
      </c>
      <c r="K101" s="412">
        <v>732115</v>
      </c>
      <c r="L101" s="398">
        <f t="shared" ref="L101:L103" si="64">T101/4</f>
        <v>438975</v>
      </c>
      <c r="M101" s="398">
        <v>713965</v>
      </c>
      <c r="N101" s="398">
        <v>713965</v>
      </c>
      <c r="O101" s="398">
        <v>713965</v>
      </c>
      <c r="P101" s="353">
        <f>'สงม. 2 พัฒนาชุมชน'!D62</f>
        <v>1786000</v>
      </c>
      <c r="Q101" s="353">
        <f t="shared" si="44"/>
        <v>952875</v>
      </c>
      <c r="R101" s="353">
        <f>'สงม. 2 พัฒนาชุมชน'!E62</f>
        <v>1786000</v>
      </c>
      <c r="S101" s="353">
        <f t="shared" si="45"/>
        <v>856845</v>
      </c>
      <c r="T101" s="353">
        <f>'สงม. 2 พัฒนาชุมชน'!F62</f>
        <v>1755900</v>
      </c>
      <c r="U101" s="353">
        <f t="shared" si="46"/>
        <v>824970</v>
      </c>
      <c r="V101" s="337">
        <f t="shared" si="43"/>
        <v>2634690</v>
      </c>
    </row>
    <row r="102" spans="1:23" ht="24.95" customHeight="1" x14ac:dyDescent="0.2">
      <c r="A102" s="285" t="s">
        <v>53</v>
      </c>
      <c r="B102" s="339" t="e">
        <f t="shared" si="58"/>
        <v>#REF!</v>
      </c>
      <c r="C102" s="339" t="e">
        <f t="shared" si="48"/>
        <v>#REF!</v>
      </c>
      <c r="D102" s="427" t="e">
        <f t="shared" si="62"/>
        <v>#REF!</v>
      </c>
      <c r="E102" s="427">
        <v>815734.5</v>
      </c>
      <c r="F102" s="427">
        <v>815734.5</v>
      </c>
      <c r="G102" s="427">
        <v>815734.5</v>
      </c>
      <c r="H102" s="412" t="e">
        <f t="shared" si="63"/>
        <v>#REF!</v>
      </c>
      <c r="I102" s="412">
        <v>760733.25</v>
      </c>
      <c r="J102" s="412">
        <v>760733.25</v>
      </c>
      <c r="K102" s="412">
        <v>760733.25</v>
      </c>
      <c r="L102" s="398" t="e">
        <f t="shared" si="64"/>
        <v>#REF!</v>
      </c>
      <c r="M102" s="398">
        <v>833232.25</v>
      </c>
      <c r="N102" s="398">
        <v>833232.25</v>
      </c>
      <c r="O102" s="398">
        <v>833232.25</v>
      </c>
      <c r="P102" s="353" t="e">
        <f>'สงม. 2 พัฒนาชุมชน'!D72+'สงม. 2 พัฒนาชุมชน'!#REF!+'สงม. 2 พัฒนาชุมชน'!#REF!+'สงม. 2 พัฒนาชุมชน'!D74+'สงม. 2 พัฒนาชุมชน'!#REF!+'สงม. 2 พัฒนาชุมชน'!#REF!+'สงม. 2 พัฒนาชุมชน'!#REF!+'สงม. 2 พัฒนาชุมชน'!D80+'สงม. 2 พัฒนาชุมชน'!D82+'สงม. 2 พัฒนาชุมชน'!D84</f>
        <v>#REF!</v>
      </c>
      <c r="Q102" s="353" t="e">
        <f t="shared" si="44"/>
        <v>#REF!</v>
      </c>
      <c r="R102" s="353" t="e">
        <f>'สงม. 2 พัฒนาชุมชน'!E72+'สงม. 2 พัฒนาชุมชน'!#REF!+'สงม. 2 พัฒนาชุมชน'!#REF!+'สงม. 2 พัฒนาชุมชน'!E74+'สงม. 2 พัฒนาชุมชน'!#REF!+'สงม. 2 พัฒนาชุมชน'!#REF!+'สงม. 2 พัฒนาชุมชน'!#REF!+'สงม. 2 พัฒนาชุมชน'!E80+'สงม. 2 พัฒนาชุมชน'!E82+'สงม. 2 พัฒนาชุมชน'!E84</f>
        <v>#REF!</v>
      </c>
      <c r="S102" s="353" t="e">
        <f t="shared" si="45"/>
        <v>#REF!</v>
      </c>
      <c r="T102" s="353" t="e">
        <f>'สงม. 2 พัฒนาชุมชน'!F72+'สงม. 2 พัฒนาชุมชน'!#REF!+'สงม. 2 พัฒนาชุมชน'!#REF!+'สงม. 2 พัฒนาชุมชน'!F74+'สงม. 2 พัฒนาชุมชน'!#REF!+'สงม. 2 พัฒนาชุมชน'!#REF!+'สงม. 2 พัฒนาชุมชน'!#REF!+'สงม. 2 พัฒนาชุมชน'!F80+'สงม. 2 พัฒนาชุมชน'!F82+'สงม. 2 พัฒนาชุมชน'!F84</f>
        <v>#REF!</v>
      </c>
      <c r="U102" s="353" t="e">
        <f t="shared" si="46"/>
        <v>#REF!</v>
      </c>
      <c r="V102" s="337" t="e">
        <f t="shared" si="43"/>
        <v>#REF!</v>
      </c>
      <c r="W102" s="287" t="e">
        <f>'สงม.1 (แยกฝ่าย)'!C201+'สงม.1 (แยกฝ่าย)'!D201+'สงม.1 (แยกฝ่าย)'!E201</f>
        <v>#REF!</v>
      </c>
    </row>
    <row r="103" spans="1:23" s="240" customFormat="1" ht="24.95" customHeight="1" x14ac:dyDescent="0.2">
      <c r="A103" s="354" t="s">
        <v>197</v>
      </c>
      <c r="B103" s="335" t="e">
        <f t="shared" si="58"/>
        <v>#REF!</v>
      </c>
      <c r="C103" s="335" t="e">
        <f t="shared" si="48"/>
        <v>#REF!</v>
      </c>
      <c r="D103" s="426" t="e">
        <f t="shared" si="62"/>
        <v>#REF!</v>
      </c>
      <c r="E103" s="426">
        <v>0</v>
      </c>
      <c r="F103" s="426">
        <v>0</v>
      </c>
      <c r="G103" s="426">
        <v>0</v>
      </c>
      <c r="H103" s="411" t="e">
        <f t="shared" si="63"/>
        <v>#REF!</v>
      </c>
      <c r="I103" s="411">
        <v>34550</v>
      </c>
      <c r="J103" s="411">
        <v>34550</v>
      </c>
      <c r="K103" s="411">
        <v>34550</v>
      </c>
      <c r="L103" s="397" t="e">
        <f t="shared" si="64"/>
        <v>#REF!</v>
      </c>
      <c r="M103" s="397">
        <v>0</v>
      </c>
      <c r="N103" s="397">
        <v>0</v>
      </c>
      <c r="O103" s="397">
        <v>0</v>
      </c>
      <c r="P103" s="352" t="e">
        <f>'สงม. 2 พัฒนาชุมชน'!D87+'สงม. 2 พัฒนาชุมชน'!#REF!</f>
        <v>#REF!</v>
      </c>
      <c r="Q103" s="352" t="e">
        <f t="shared" si="44"/>
        <v>#REF!</v>
      </c>
      <c r="R103" s="352" t="e">
        <f>'สงม. 2 พัฒนาชุมชน'!E87+'สงม. 2 พัฒนาชุมชน'!#REF!</f>
        <v>#REF!</v>
      </c>
      <c r="S103" s="352" t="e">
        <f t="shared" si="45"/>
        <v>#REF!</v>
      </c>
      <c r="T103" s="352" t="e">
        <f>'สงม. 2 พัฒนาชุมชน'!F87+'สงม. 2 พัฒนาชุมชน'!#REF!</f>
        <v>#REF!</v>
      </c>
      <c r="U103" s="352" t="e">
        <f t="shared" si="46"/>
        <v>#REF!</v>
      </c>
      <c r="V103" s="337" t="e">
        <f t="shared" si="43"/>
        <v>#REF!</v>
      </c>
      <c r="W103" s="337" t="e">
        <f>P103+R103+T103+P95+R95+T95</f>
        <v>#REF!</v>
      </c>
    </row>
    <row r="104" spans="1:23" x14ac:dyDescent="0.2">
      <c r="Q104" s="348">
        <f t="shared" si="44"/>
        <v>0</v>
      </c>
      <c r="S104" s="348">
        <f t="shared" si="45"/>
        <v>0</v>
      </c>
      <c r="U104" s="348">
        <f t="shared" si="46"/>
        <v>0</v>
      </c>
      <c r="V104" s="337">
        <f t="shared" si="43"/>
        <v>0</v>
      </c>
    </row>
    <row r="105" spans="1:23" x14ac:dyDescent="0.2">
      <c r="Q105" s="348">
        <f t="shared" si="44"/>
        <v>0</v>
      </c>
      <c r="S105" s="348">
        <f t="shared" si="45"/>
        <v>0</v>
      </c>
      <c r="U105" s="348">
        <f t="shared" si="46"/>
        <v>0</v>
      </c>
      <c r="V105" s="337">
        <f t="shared" si="43"/>
        <v>0</v>
      </c>
    </row>
    <row r="106" spans="1:23" x14ac:dyDescent="0.2">
      <c r="Q106" s="348">
        <f t="shared" si="44"/>
        <v>0</v>
      </c>
      <c r="S106" s="348">
        <f t="shared" si="45"/>
        <v>0</v>
      </c>
      <c r="U106" s="348">
        <f t="shared" si="46"/>
        <v>0</v>
      </c>
      <c r="V106" s="337">
        <f t="shared" si="43"/>
        <v>0</v>
      </c>
    </row>
    <row r="107" spans="1:23" x14ac:dyDescent="0.2">
      <c r="Q107" s="348">
        <f t="shared" si="44"/>
        <v>0</v>
      </c>
      <c r="S107" s="348">
        <f t="shared" si="45"/>
        <v>0</v>
      </c>
      <c r="U107" s="348">
        <f t="shared" si="46"/>
        <v>0</v>
      </c>
      <c r="V107" s="337">
        <f t="shared" si="43"/>
        <v>0</v>
      </c>
    </row>
    <row r="108" spans="1:23" x14ac:dyDescent="0.2">
      <c r="Q108" s="348">
        <f t="shared" si="44"/>
        <v>0</v>
      </c>
      <c r="S108" s="348">
        <f t="shared" si="45"/>
        <v>0</v>
      </c>
      <c r="U108" s="348">
        <f t="shared" si="46"/>
        <v>0</v>
      </c>
      <c r="V108" s="337">
        <f t="shared" si="43"/>
        <v>0</v>
      </c>
    </row>
    <row r="109" spans="1:23" x14ac:dyDescent="0.2">
      <c r="Q109" s="348">
        <f t="shared" si="44"/>
        <v>0</v>
      </c>
      <c r="S109" s="348">
        <f t="shared" si="45"/>
        <v>0</v>
      </c>
      <c r="U109" s="348">
        <f t="shared" si="46"/>
        <v>0</v>
      </c>
      <c r="V109" s="337">
        <f t="shared" si="43"/>
        <v>0</v>
      </c>
    </row>
    <row r="110" spans="1:23" x14ac:dyDescent="0.2">
      <c r="Q110" s="348">
        <f t="shared" si="44"/>
        <v>0</v>
      </c>
      <c r="S110" s="348">
        <f t="shared" si="45"/>
        <v>0</v>
      </c>
      <c r="U110" s="348">
        <f t="shared" si="46"/>
        <v>0</v>
      </c>
      <c r="V110" s="337">
        <f t="shared" si="43"/>
        <v>0</v>
      </c>
    </row>
    <row r="111" spans="1:23" x14ac:dyDescent="0.2">
      <c r="Q111" s="348">
        <f t="shared" si="44"/>
        <v>0</v>
      </c>
      <c r="S111" s="348">
        <f t="shared" si="45"/>
        <v>0</v>
      </c>
      <c r="U111" s="348">
        <f t="shared" si="46"/>
        <v>0</v>
      </c>
      <c r="V111" s="337">
        <f t="shared" si="43"/>
        <v>0</v>
      </c>
    </row>
    <row r="112" spans="1:23" x14ac:dyDescent="0.2">
      <c r="A112" s="298"/>
      <c r="B112" s="299"/>
      <c r="C112" s="299"/>
      <c r="D112" s="428"/>
      <c r="E112" s="428"/>
      <c r="F112" s="428"/>
      <c r="G112" s="428"/>
      <c r="H112" s="413"/>
      <c r="I112" s="413"/>
      <c r="J112" s="413"/>
      <c r="K112" s="413"/>
      <c r="L112" s="399"/>
      <c r="M112" s="399"/>
      <c r="N112" s="399"/>
      <c r="O112" s="399"/>
      <c r="P112" s="355"/>
      <c r="Q112" s="355">
        <f t="shared" si="44"/>
        <v>0</v>
      </c>
      <c r="R112" s="355"/>
      <c r="S112" s="355">
        <f t="shared" si="45"/>
        <v>0</v>
      </c>
      <c r="T112" s="356" t="s">
        <v>234</v>
      </c>
      <c r="U112" s="355" t="e">
        <f t="shared" si="46"/>
        <v>#VALUE!</v>
      </c>
      <c r="V112" s="337">
        <f t="shared" si="43"/>
        <v>0</v>
      </c>
    </row>
    <row r="113" spans="1:23" ht="24.95" customHeight="1" x14ac:dyDescent="0.25">
      <c r="A113" s="122"/>
      <c r="B113" s="122"/>
      <c r="C113" s="122"/>
      <c r="D113" s="424"/>
      <c r="E113" s="424"/>
      <c r="F113" s="424"/>
      <c r="G113" s="424"/>
      <c r="H113" s="409"/>
      <c r="I113" s="409"/>
      <c r="J113" s="409"/>
      <c r="K113" s="409"/>
      <c r="L113" s="395"/>
      <c r="M113" s="395"/>
      <c r="N113" s="395"/>
      <c r="O113" s="395"/>
      <c r="P113" s="349"/>
      <c r="Q113" s="349">
        <f t="shared" si="44"/>
        <v>0</v>
      </c>
      <c r="R113" s="349"/>
      <c r="S113" s="349">
        <f t="shared" si="45"/>
        <v>0</v>
      </c>
      <c r="T113" s="350" t="s">
        <v>28</v>
      </c>
      <c r="U113" s="349" t="e">
        <f t="shared" si="46"/>
        <v>#VALUE!</v>
      </c>
      <c r="V113" s="337">
        <f t="shared" si="43"/>
        <v>0</v>
      </c>
    </row>
    <row r="114" spans="1:23" ht="24.95" customHeight="1" x14ac:dyDescent="0.2">
      <c r="A114" s="671" t="s">
        <v>190</v>
      </c>
      <c r="B114" s="239" t="s">
        <v>1</v>
      </c>
      <c r="C114" s="239"/>
      <c r="D114" s="332">
        <v>23651</v>
      </c>
      <c r="E114" s="332">
        <v>23682</v>
      </c>
      <c r="F114" s="332">
        <v>23712</v>
      </c>
      <c r="G114" s="332">
        <v>23743</v>
      </c>
      <c r="H114" s="333">
        <v>23774</v>
      </c>
      <c r="I114" s="333">
        <v>23802</v>
      </c>
      <c r="J114" s="333">
        <v>23833</v>
      </c>
      <c r="K114" s="333">
        <v>23863</v>
      </c>
      <c r="L114" s="376">
        <v>23894</v>
      </c>
      <c r="M114" s="376">
        <v>23924</v>
      </c>
      <c r="N114" s="376">
        <v>23955</v>
      </c>
      <c r="O114" s="376">
        <v>23986</v>
      </c>
      <c r="P114" s="351" t="s">
        <v>191</v>
      </c>
      <c r="Q114" s="351" t="e">
        <f t="shared" si="44"/>
        <v>#VALUE!</v>
      </c>
      <c r="R114" s="351" t="s">
        <v>192</v>
      </c>
      <c r="S114" s="351" t="e">
        <f t="shared" si="45"/>
        <v>#VALUE!</v>
      </c>
      <c r="T114" s="351" t="s">
        <v>193</v>
      </c>
      <c r="U114" s="351" t="e">
        <f t="shared" si="46"/>
        <v>#VALUE!</v>
      </c>
      <c r="V114" s="337" t="e">
        <f t="shared" si="43"/>
        <v>#VALUE!</v>
      </c>
    </row>
    <row r="115" spans="1:23" s="240" customFormat="1" ht="24.95" customHeight="1" x14ac:dyDescent="0.2">
      <c r="A115" s="671"/>
      <c r="B115" s="239" t="s">
        <v>2</v>
      </c>
      <c r="C115" s="239"/>
      <c r="D115" s="425"/>
      <c r="E115" s="425"/>
      <c r="F115" s="425"/>
      <c r="G115" s="425"/>
      <c r="H115" s="410"/>
      <c r="I115" s="410"/>
      <c r="J115" s="410"/>
      <c r="K115" s="410"/>
      <c r="L115" s="396"/>
      <c r="M115" s="396"/>
      <c r="N115" s="396"/>
      <c r="O115" s="396"/>
      <c r="P115" s="351" t="s">
        <v>2</v>
      </c>
      <c r="Q115" s="351" t="e">
        <f t="shared" si="44"/>
        <v>#VALUE!</v>
      </c>
      <c r="R115" s="351" t="s">
        <v>2</v>
      </c>
      <c r="S115" s="351" t="e">
        <f t="shared" si="45"/>
        <v>#VALUE!</v>
      </c>
      <c r="T115" s="351" t="s">
        <v>2</v>
      </c>
      <c r="U115" s="351" t="e">
        <f t="shared" si="46"/>
        <v>#VALUE!</v>
      </c>
      <c r="V115" s="337" t="e">
        <f t="shared" si="43"/>
        <v>#VALUE!</v>
      </c>
    </row>
    <row r="116" spans="1:23" ht="24.95" customHeight="1" x14ac:dyDescent="0.2">
      <c r="A116" s="334" t="s">
        <v>213</v>
      </c>
      <c r="B116" s="335"/>
      <c r="C116" s="335"/>
      <c r="D116" s="426"/>
      <c r="E116" s="426"/>
      <c r="F116" s="426"/>
      <c r="G116" s="426"/>
      <c r="H116" s="411"/>
      <c r="I116" s="411"/>
      <c r="J116" s="411"/>
      <c r="K116" s="411"/>
      <c r="L116" s="397"/>
      <c r="M116" s="397"/>
      <c r="N116" s="397"/>
      <c r="O116" s="397"/>
      <c r="P116" s="352"/>
      <c r="Q116" s="352">
        <f t="shared" si="44"/>
        <v>0</v>
      </c>
      <c r="R116" s="352"/>
      <c r="S116" s="352">
        <f t="shared" si="45"/>
        <v>0</v>
      </c>
      <c r="T116" s="352"/>
      <c r="U116" s="352">
        <f t="shared" si="46"/>
        <v>0</v>
      </c>
      <c r="V116" s="337">
        <f t="shared" si="43"/>
        <v>0</v>
      </c>
    </row>
    <row r="117" spans="1:23" ht="24.95" customHeight="1" x14ac:dyDescent="0.2">
      <c r="A117" s="336" t="s">
        <v>194</v>
      </c>
      <c r="B117" s="335" t="e">
        <f t="shared" ref="B117:B139" si="65">P117+R117+T117</f>
        <v>#REF!</v>
      </c>
      <c r="C117" s="335"/>
      <c r="D117" s="426"/>
      <c r="E117" s="426"/>
      <c r="F117" s="426"/>
      <c r="G117" s="426"/>
      <c r="H117" s="411"/>
      <c r="I117" s="411"/>
      <c r="J117" s="411"/>
      <c r="K117" s="411"/>
      <c r="L117" s="397"/>
      <c r="M117" s="397"/>
      <c r="N117" s="397"/>
      <c r="O117" s="397"/>
      <c r="P117" s="352" t="e">
        <f>P118+P121+P124</f>
        <v>#REF!</v>
      </c>
      <c r="Q117" s="352" t="e">
        <f t="shared" si="44"/>
        <v>#REF!</v>
      </c>
      <c r="R117" s="352" t="e">
        <f>R118+R121+R124</f>
        <v>#REF!</v>
      </c>
      <c r="S117" s="352" t="e">
        <f t="shared" si="45"/>
        <v>#REF!</v>
      </c>
      <c r="T117" s="352" t="e">
        <f>T118+T121+T124</f>
        <v>#REF!</v>
      </c>
      <c r="U117" s="352" t="e">
        <f t="shared" si="46"/>
        <v>#REF!</v>
      </c>
      <c r="V117" s="337" t="e">
        <f t="shared" si="43"/>
        <v>#REF!</v>
      </c>
    </row>
    <row r="118" spans="1:23" ht="24.95" customHeight="1" x14ac:dyDescent="0.2">
      <c r="A118" s="338" t="s">
        <v>214</v>
      </c>
      <c r="B118" s="335" t="e">
        <f t="shared" si="65"/>
        <v>#REF!</v>
      </c>
      <c r="C118" s="335"/>
      <c r="D118" s="426"/>
      <c r="E118" s="426"/>
      <c r="F118" s="426"/>
      <c r="G118" s="426"/>
      <c r="H118" s="411"/>
      <c r="I118" s="411"/>
      <c r="J118" s="411"/>
      <c r="K118" s="411"/>
      <c r="L118" s="397"/>
      <c r="M118" s="397"/>
      <c r="N118" s="397"/>
      <c r="O118" s="397"/>
      <c r="P118" s="352" t="e">
        <f>SUM(P119:P120)</f>
        <v>#REF!</v>
      </c>
      <c r="Q118" s="352" t="e">
        <f t="shared" si="44"/>
        <v>#REF!</v>
      </c>
      <c r="R118" s="352" t="e">
        <f>SUM(R119:R120)</f>
        <v>#REF!</v>
      </c>
      <c r="S118" s="352" t="e">
        <f t="shared" si="45"/>
        <v>#REF!</v>
      </c>
      <c r="T118" s="352" t="e">
        <f>SUM(T119:T120)</f>
        <v>#REF!</v>
      </c>
      <c r="U118" s="352" t="e">
        <f t="shared" si="46"/>
        <v>#REF!</v>
      </c>
      <c r="V118" s="337" t="e">
        <f t="shared" si="43"/>
        <v>#REF!</v>
      </c>
    </row>
    <row r="119" spans="1:23" ht="24.95" customHeight="1" x14ac:dyDescent="0.2">
      <c r="A119" s="285" t="s">
        <v>48</v>
      </c>
      <c r="B119" s="339" t="e">
        <f t="shared" si="65"/>
        <v>#REF!</v>
      </c>
      <c r="C119" s="339" t="e">
        <f t="shared" ref="C119:C142" si="66">SUM(D119:O119)</f>
        <v>#REF!</v>
      </c>
      <c r="D119" s="427"/>
      <c r="E119" s="427"/>
      <c r="F119" s="427" t="e">
        <f>P119</f>
        <v>#REF!</v>
      </c>
      <c r="G119" s="427"/>
      <c r="H119" s="412">
        <v>0</v>
      </c>
      <c r="I119" s="412"/>
      <c r="J119" s="412"/>
      <c r="K119" s="412" t="e">
        <f>R119</f>
        <v>#REF!</v>
      </c>
      <c r="L119" s="398" t="e">
        <f>Q119</f>
        <v>#REF!</v>
      </c>
      <c r="M119" s="398"/>
      <c r="N119" s="398"/>
      <c r="O119" s="398" t="e">
        <f>T119</f>
        <v>#REF!</v>
      </c>
      <c r="P119" s="353" t="e">
        <f>'สงม. 2 สวล.'!#REF!</f>
        <v>#REF!</v>
      </c>
      <c r="Q119" s="353" t="e">
        <f t="shared" si="44"/>
        <v>#REF!</v>
      </c>
      <c r="R119" s="353" t="e">
        <f>'สงม. 2 สวล.'!#REF!</f>
        <v>#REF!</v>
      </c>
      <c r="S119" s="353" t="e">
        <f t="shared" si="45"/>
        <v>#REF!</v>
      </c>
      <c r="T119" s="353" t="e">
        <f>'สงม. 2 สวล.'!#REF!</f>
        <v>#REF!</v>
      </c>
      <c r="U119" s="353" t="e">
        <f t="shared" si="46"/>
        <v>#REF!</v>
      </c>
      <c r="V119" s="337" t="e">
        <f t="shared" si="43"/>
        <v>#REF!</v>
      </c>
    </row>
    <row r="120" spans="1:23" ht="24.95" customHeight="1" x14ac:dyDescent="0.2">
      <c r="A120" s="285" t="s">
        <v>49</v>
      </c>
      <c r="B120" s="339">
        <f t="shared" si="65"/>
        <v>419000</v>
      </c>
      <c r="C120" s="339">
        <f t="shared" si="66"/>
        <v>311240</v>
      </c>
      <c r="D120" s="427">
        <f>P120/4</f>
        <v>92250</v>
      </c>
      <c r="E120" s="427">
        <v>60677.5</v>
      </c>
      <c r="F120" s="427">
        <v>60677.5</v>
      </c>
      <c r="G120" s="427">
        <v>60677.5</v>
      </c>
      <c r="H120" s="412">
        <f>R120/4</f>
        <v>0</v>
      </c>
      <c r="I120" s="412">
        <v>7162.5</v>
      </c>
      <c r="J120" s="412">
        <v>7162.5</v>
      </c>
      <c r="K120" s="412">
        <v>7162.5</v>
      </c>
      <c r="L120" s="398">
        <f t="shared" ref="L120" si="67">T120/4</f>
        <v>12500</v>
      </c>
      <c r="M120" s="398">
        <v>990</v>
      </c>
      <c r="N120" s="398">
        <v>990</v>
      </c>
      <c r="O120" s="398">
        <v>990</v>
      </c>
      <c r="P120" s="353">
        <f>'สงม. 2 สวล.'!D11</f>
        <v>369000</v>
      </c>
      <c r="Q120" s="353">
        <f t="shared" si="44"/>
        <v>-94717.5</v>
      </c>
      <c r="R120" s="353">
        <f>'สงม. 2 สวล.'!E11</f>
        <v>0</v>
      </c>
      <c r="S120" s="353">
        <f t="shared" si="45"/>
        <v>21487.5</v>
      </c>
      <c r="T120" s="353">
        <f>'สงม. 2 สวล.'!F11</f>
        <v>50000</v>
      </c>
      <c r="U120" s="353">
        <f t="shared" si="46"/>
        <v>-34530</v>
      </c>
      <c r="V120" s="337">
        <f t="shared" si="43"/>
        <v>-107760</v>
      </c>
    </row>
    <row r="121" spans="1:23" ht="24.95" customHeight="1" x14ac:dyDescent="0.2">
      <c r="A121" s="338" t="s">
        <v>215</v>
      </c>
      <c r="B121" s="335" t="e">
        <f t="shared" si="65"/>
        <v>#REF!</v>
      </c>
      <c r="C121" s="335">
        <f t="shared" si="66"/>
        <v>0</v>
      </c>
      <c r="D121" s="426"/>
      <c r="E121" s="426"/>
      <c r="F121" s="426"/>
      <c r="G121" s="426"/>
      <c r="H121" s="411"/>
      <c r="I121" s="411"/>
      <c r="J121" s="411"/>
      <c r="K121" s="411"/>
      <c r="L121" s="397"/>
      <c r="M121" s="397"/>
      <c r="N121" s="397"/>
      <c r="O121" s="397"/>
      <c r="P121" s="352" t="e">
        <f>SUM(P122:P123)</f>
        <v>#REF!</v>
      </c>
      <c r="Q121" s="352" t="e">
        <f t="shared" si="44"/>
        <v>#REF!</v>
      </c>
      <c r="R121" s="352" t="e">
        <f>SUM(R122:R123)</f>
        <v>#REF!</v>
      </c>
      <c r="S121" s="352" t="e">
        <f t="shared" si="45"/>
        <v>#REF!</v>
      </c>
      <c r="T121" s="352" t="e">
        <f>SUM(T122:T123)</f>
        <v>#REF!</v>
      </c>
      <c r="U121" s="352" t="e">
        <f t="shared" si="46"/>
        <v>#REF!</v>
      </c>
      <c r="V121" s="337" t="e">
        <f t="shared" si="43"/>
        <v>#REF!</v>
      </c>
    </row>
    <row r="122" spans="1:23" ht="24.95" customHeight="1" x14ac:dyDescent="0.2">
      <c r="A122" s="285" t="s">
        <v>48</v>
      </c>
      <c r="B122" s="339" t="e">
        <f t="shared" si="65"/>
        <v>#REF!</v>
      </c>
      <c r="C122" s="339" t="e">
        <f t="shared" si="66"/>
        <v>#REF!</v>
      </c>
      <c r="D122" s="427"/>
      <c r="E122" s="427"/>
      <c r="F122" s="427" t="e">
        <f>P122</f>
        <v>#REF!</v>
      </c>
      <c r="G122" s="427"/>
      <c r="H122" s="412">
        <v>0</v>
      </c>
      <c r="I122" s="412"/>
      <c r="J122" s="412"/>
      <c r="K122" s="412" t="e">
        <f>R122</f>
        <v>#REF!</v>
      </c>
      <c r="L122" s="398" t="e">
        <f>Q122</f>
        <v>#REF!</v>
      </c>
      <c r="M122" s="398"/>
      <c r="N122" s="398"/>
      <c r="O122" s="398" t="e">
        <f>T122</f>
        <v>#REF!</v>
      </c>
      <c r="P122" s="353" t="e">
        <f>'สงม. 2 สวล.'!#REF!</f>
        <v>#REF!</v>
      </c>
      <c r="Q122" s="353" t="e">
        <f t="shared" si="44"/>
        <v>#REF!</v>
      </c>
      <c r="R122" s="353" t="e">
        <f>'สงม. 2 สวล.'!#REF!</f>
        <v>#REF!</v>
      </c>
      <c r="S122" s="353" t="e">
        <f t="shared" si="45"/>
        <v>#REF!</v>
      </c>
      <c r="T122" s="353" t="e">
        <f>'สงม. 2 สวล.'!#REF!</f>
        <v>#REF!</v>
      </c>
      <c r="U122" s="353" t="e">
        <f t="shared" si="46"/>
        <v>#REF!</v>
      </c>
      <c r="V122" s="337" t="e">
        <f t="shared" si="43"/>
        <v>#REF!</v>
      </c>
    </row>
    <row r="123" spans="1:23" ht="24.95" customHeight="1" x14ac:dyDescent="0.2">
      <c r="A123" s="285" t="s">
        <v>49</v>
      </c>
      <c r="B123" s="339">
        <f t="shared" si="65"/>
        <v>255600</v>
      </c>
      <c r="C123" s="339">
        <f t="shared" si="66"/>
        <v>270390</v>
      </c>
      <c r="D123" s="427">
        <f>P123/4</f>
        <v>57625</v>
      </c>
      <c r="E123" s="427">
        <v>52377.5</v>
      </c>
      <c r="F123" s="427">
        <v>52377.5</v>
      </c>
      <c r="G123" s="427">
        <v>52377.5</v>
      </c>
      <c r="H123" s="412">
        <f>R123/4</f>
        <v>3625</v>
      </c>
      <c r="I123" s="412">
        <v>11967.5</v>
      </c>
      <c r="J123" s="412">
        <v>11967.5</v>
      </c>
      <c r="K123" s="412">
        <v>11967.5</v>
      </c>
      <c r="L123" s="398">
        <f t="shared" ref="L123" si="68">T123/4</f>
        <v>2650</v>
      </c>
      <c r="M123" s="398">
        <v>4485</v>
      </c>
      <c r="N123" s="398">
        <v>4485</v>
      </c>
      <c r="O123" s="398">
        <v>4485</v>
      </c>
      <c r="P123" s="353">
        <f>'สงม. 2 สวล.'!D39</f>
        <v>230500</v>
      </c>
      <c r="Q123" s="353">
        <f t="shared" si="44"/>
        <v>-15742.5</v>
      </c>
      <c r="R123" s="353">
        <f>'สงม. 2 สวล.'!E39</f>
        <v>14500</v>
      </c>
      <c r="S123" s="353">
        <f t="shared" si="45"/>
        <v>25027.5</v>
      </c>
      <c r="T123" s="353">
        <f>'สงม. 2 สวล.'!F39</f>
        <v>10600</v>
      </c>
      <c r="U123" s="353">
        <f t="shared" si="46"/>
        <v>5505</v>
      </c>
      <c r="V123" s="337">
        <f t="shared" si="43"/>
        <v>14790</v>
      </c>
    </row>
    <row r="124" spans="1:23" ht="24.95" customHeight="1" x14ac:dyDescent="0.2">
      <c r="A124" s="338" t="s">
        <v>216</v>
      </c>
      <c r="B124" s="335" t="e">
        <f t="shared" si="65"/>
        <v>#REF!</v>
      </c>
      <c r="C124" s="335">
        <f t="shared" si="66"/>
        <v>0</v>
      </c>
      <c r="D124" s="426"/>
      <c r="E124" s="426"/>
      <c r="F124" s="426"/>
      <c r="G124" s="426"/>
      <c r="H124" s="411"/>
      <c r="I124" s="411"/>
      <c r="J124" s="411"/>
      <c r="K124" s="411"/>
      <c r="L124" s="397"/>
      <c r="M124" s="397"/>
      <c r="N124" s="397"/>
      <c r="O124" s="397"/>
      <c r="P124" s="352" t="e">
        <f>SUM(P125:P126)</f>
        <v>#REF!</v>
      </c>
      <c r="Q124" s="352" t="e">
        <f t="shared" si="44"/>
        <v>#REF!</v>
      </c>
      <c r="R124" s="352" t="e">
        <f>SUM(R125:R126)</f>
        <v>#REF!</v>
      </c>
      <c r="S124" s="352" t="e">
        <f t="shared" si="45"/>
        <v>#REF!</v>
      </c>
      <c r="T124" s="352" t="e">
        <f>SUM(T125:T126)</f>
        <v>#REF!</v>
      </c>
      <c r="U124" s="352" t="e">
        <f t="shared" si="46"/>
        <v>#REF!</v>
      </c>
      <c r="V124" s="337" t="e">
        <f t="shared" si="43"/>
        <v>#REF!</v>
      </c>
    </row>
    <row r="125" spans="1:23" ht="24.95" customHeight="1" x14ac:dyDescent="0.2">
      <c r="A125" s="285" t="s">
        <v>48</v>
      </c>
      <c r="B125" s="339" t="e">
        <f t="shared" si="65"/>
        <v>#REF!</v>
      </c>
      <c r="C125" s="339" t="e">
        <f t="shared" si="66"/>
        <v>#REF!</v>
      </c>
      <c r="D125" s="427"/>
      <c r="E125" s="427"/>
      <c r="F125" s="427" t="e">
        <f>P125</f>
        <v>#REF!</v>
      </c>
      <c r="G125" s="427"/>
      <c r="H125" s="412">
        <v>0</v>
      </c>
      <c r="I125" s="412"/>
      <c r="J125" s="412"/>
      <c r="K125" s="412" t="e">
        <f>R125</f>
        <v>#REF!</v>
      </c>
      <c r="L125" s="398" t="e">
        <f>Q125</f>
        <v>#REF!</v>
      </c>
      <c r="M125" s="398"/>
      <c r="N125" s="398"/>
      <c r="O125" s="398" t="e">
        <f>T125</f>
        <v>#REF!</v>
      </c>
      <c r="P125" s="353" t="e">
        <f>'สงม. 2 สวล.'!#REF!</f>
        <v>#REF!</v>
      </c>
      <c r="Q125" s="353" t="e">
        <f t="shared" si="44"/>
        <v>#REF!</v>
      </c>
      <c r="R125" s="353" t="e">
        <f>'สงม. 2 สวล.'!#REF!</f>
        <v>#REF!</v>
      </c>
      <c r="S125" s="353" t="e">
        <f>H125+I125+J125+K125-R125</f>
        <v>#REF!</v>
      </c>
      <c r="T125" s="353" t="e">
        <f>'สงม. 2 สวล.'!#REF!</f>
        <v>#REF!</v>
      </c>
      <c r="U125" s="353" t="e">
        <f t="shared" si="46"/>
        <v>#REF!</v>
      </c>
      <c r="V125" s="337" t="e">
        <f t="shared" si="43"/>
        <v>#REF!</v>
      </c>
    </row>
    <row r="126" spans="1:23" ht="24.95" customHeight="1" x14ac:dyDescent="0.2">
      <c r="A126" s="285" t="s">
        <v>49</v>
      </c>
      <c r="B126" s="339">
        <f t="shared" si="65"/>
        <v>306300</v>
      </c>
      <c r="C126" s="339">
        <f t="shared" si="66"/>
        <v>352020</v>
      </c>
      <c r="D126" s="427">
        <f>P126/4</f>
        <v>76575</v>
      </c>
      <c r="E126" s="427">
        <v>67970</v>
      </c>
      <c r="F126" s="427">
        <v>67970</v>
      </c>
      <c r="G126" s="427">
        <v>67970</v>
      </c>
      <c r="H126" s="412">
        <f>R126/4</f>
        <v>0</v>
      </c>
      <c r="I126" s="412">
        <v>17765</v>
      </c>
      <c r="J126" s="412">
        <v>17765</v>
      </c>
      <c r="K126" s="412">
        <v>17765</v>
      </c>
      <c r="L126" s="398">
        <f t="shared" ref="L126:L127" si="69">T126/4</f>
        <v>0</v>
      </c>
      <c r="M126" s="398">
        <v>6080</v>
      </c>
      <c r="N126" s="398">
        <v>6080</v>
      </c>
      <c r="O126" s="398">
        <v>6080</v>
      </c>
      <c r="P126" s="353">
        <f>'สงม. 2 สวล.'!D66</f>
        <v>306300</v>
      </c>
      <c r="Q126" s="353">
        <f t="shared" si="44"/>
        <v>-25815</v>
      </c>
      <c r="R126" s="353">
        <f>'สงม. 2 สวล.'!E66</f>
        <v>0</v>
      </c>
      <c r="S126" s="353">
        <f t="shared" si="45"/>
        <v>53295</v>
      </c>
      <c r="T126" s="353">
        <f>'สงม. 2 สวล.'!F66</f>
        <v>0</v>
      </c>
      <c r="U126" s="353">
        <f t="shared" si="46"/>
        <v>18240</v>
      </c>
      <c r="V126" s="337">
        <f t="shared" si="43"/>
        <v>45720</v>
      </c>
      <c r="W126" s="287" t="e">
        <f>'สงม.1 (แยกฝ่าย)'!C228+'สงม.1 (แยกฝ่าย)'!D228+'สงม.1 (แยกฝ่าย)'!E228</f>
        <v>#REF!</v>
      </c>
    </row>
    <row r="127" spans="1:23" s="240" customFormat="1" ht="24.95" customHeight="1" x14ac:dyDescent="0.2">
      <c r="A127" s="354" t="s">
        <v>197</v>
      </c>
      <c r="B127" s="335" t="e">
        <f t="shared" si="65"/>
        <v>#REF!</v>
      </c>
      <c r="C127" s="335" t="e">
        <f t="shared" si="66"/>
        <v>#REF!</v>
      </c>
      <c r="D127" s="426" t="e">
        <f>P127/4</f>
        <v>#REF!</v>
      </c>
      <c r="E127" s="426">
        <v>106382.5</v>
      </c>
      <c r="F127" s="426">
        <v>106382.5</v>
      </c>
      <c r="G127" s="426">
        <v>106382.5</v>
      </c>
      <c r="H127" s="411" t="e">
        <f>R127/4</f>
        <v>#REF!</v>
      </c>
      <c r="I127" s="411">
        <v>64232.5</v>
      </c>
      <c r="J127" s="411">
        <v>64232.5</v>
      </c>
      <c r="K127" s="411">
        <v>64232.5</v>
      </c>
      <c r="L127" s="397" t="e">
        <f t="shared" si="69"/>
        <v>#REF!</v>
      </c>
      <c r="M127" s="397">
        <v>40935</v>
      </c>
      <c r="N127" s="397">
        <v>40935</v>
      </c>
      <c r="O127" s="397">
        <v>40935</v>
      </c>
      <c r="P127" s="352" t="e">
        <f>'สงม. 2 สวล.'!#REF!+'สงม. 2 สวล.'!#REF!+'สงม. 2 สวล.'!#REF!+โครงยุทธศาสตร์!D26</f>
        <v>#REF!</v>
      </c>
      <c r="Q127" s="352" t="e">
        <f t="shared" si="44"/>
        <v>#REF!</v>
      </c>
      <c r="R127" s="352" t="e">
        <f>'สงม. 2 สวล.'!#REF!+'สงม. 2 สวล.'!#REF!+'สงม. 2 สวล.'!#REF!+โครงยุทธศาสตร์!E26</f>
        <v>#REF!</v>
      </c>
      <c r="S127" s="352" t="e">
        <f t="shared" si="45"/>
        <v>#REF!</v>
      </c>
      <c r="T127" s="352" t="e">
        <f>'สงม. 2 สวล.'!#REF!+'สงม. 2 สวล.'!#REF!+'สงม. 2 สวล.'!#REF!+โครงยุทธศาสตร์!F26</f>
        <v>#REF!</v>
      </c>
      <c r="U127" s="352" t="e">
        <f t="shared" si="46"/>
        <v>#REF!</v>
      </c>
      <c r="V127" s="337" t="e">
        <f t="shared" si="43"/>
        <v>#REF!</v>
      </c>
      <c r="W127" s="337" t="e">
        <f>P127+R127+T127+P117+R117+T117</f>
        <v>#REF!</v>
      </c>
    </row>
    <row r="128" spans="1:23" ht="24.95" customHeight="1" x14ac:dyDescent="0.2">
      <c r="A128" s="334" t="s">
        <v>217</v>
      </c>
      <c r="B128" s="335">
        <f t="shared" si="65"/>
        <v>0</v>
      </c>
      <c r="C128" s="335">
        <f t="shared" si="66"/>
        <v>0</v>
      </c>
      <c r="D128" s="426"/>
      <c r="E128" s="426"/>
      <c r="F128" s="426"/>
      <c r="G128" s="426"/>
      <c r="H128" s="411"/>
      <c r="I128" s="411"/>
      <c r="J128" s="411"/>
      <c r="K128" s="411"/>
      <c r="L128" s="397"/>
      <c r="M128" s="397"/>
      <c r="N128" s="397"/>
      <c r="O128" s="397"/>
      <c r="P128" s="352"/>
      <c r="Q128" s="352">
        <f t="shared" si="44"/>
        <v>0</v>
      </c>
      <c r="R128" s="352"/>
      <c r="S128" s="352">
        <f t="shared" si="45"/>
        <v>0</v>
      </c>
      <c r="T128" s="352"/>
      <c r="U128" s="352">
        <f t="shared" si="46"/>
        <v>0</v>
      </c>
      <c r="V128" s="337">
        <f t="shared" si="43"/>
        <v>0</v>
      </c>
    </row>
    <row r="129" spans="1:23" ht="24.95" customHeight="1" x14ac:dyDescent="0.2">
      <c r="A129" s="336" t="s">
        <v>194</v>
      </c>
      <c r="B129" s="335" t="e">
        <f t="shared" si="65"/>
        <v>#REF!</v>
      </c>
      <c r="C129" s="335">
        <f t="shared" si="66"/>
        <v>0</v>
      </c>
      <c r="D129" s="426"/>
      <c r="E129" s="426"/>
      <c r="F129" s="426"/>
      <c r="G129" s="426"/>
      <c r="H129" s="411"/>
      <c r="I129" s="411"/>
      <c r="J129" s="411"/>
      <c r="K129" s="411"/>
      <c r="L129" s="397"/>
      <c r="M129" s="397"/>
      <c r="N129" s="397"/>
      <c r="O129" s="397"/>
      <c r="P129" s="352" t="e">
        <f>P130+P134</f>
        <v>#REF!</v>
      </c>
      <c r="Q129" s="352" t="e">
        <f t="shared" si="44"/>
        <v>#REF!</v>
      </c>
      <c r="R129" s="352" t="e">
        <f t="shared" ref="R129:T129" si="70">R130+R134</f>
        <v>#REF!</v>
      </c>
      <c r="S129" s="352" t="e">
        <f t="shared" si="45"/>
        <v>#REF!</v>
      </c>
      <c r="T129" s="352" t="e">
        <f t="shared" si="70"/>
        <v>#REF!</v>
      </c>
      <c r="U129" s="352" t="e">
        <f t="shared" si="46"/>
        <v>#REF!</v>
      </c>
      <c r="V129" s="337" t="e">
        <f t="shared" si="43"/>
        <v>#REF!</v>
      </c>
    </row>
    <row r="130" spans="1:23" ht="24.95" customHeight="1" x14ac:dyDescent="0.2">
      <c r="A130" s="338" t="s">
        <v>218</v>
      </c>
      <c r="B130" s="335" t="e">
        <f t="shared" si="65"/>
        <v>#REF!</v>
      </c>
      <c r="C130" s="335">
        <f t="shared" si="66"/>
        <v>0</v>
      </c>
      <c r="D130" s="426"/>
      <c r="E130" s="426"/>
      <c r="F130" s="426"/>
      <c r="G130" s="426"/>
      <c r="H130" s="411"/>
      <c r="I130" s="411"/>
      <c r="J130" s="411"/>
      <c r="K130" s="411"/>
      <c r="L130" s="397"/>
      <c r="M130" s="397"/>
      <c r="N130" s="397"/>
      <c r="O130" s="397"/>
      <c r="P130" s="352" t="e">
        <f>SUM(P131:P133)</f>
        <v>#REF!</v>
      </c>
      <c r="Q130" s="352" t="e">
        <f t="shared" si="44"/>
        <v>#REF!</v>
      </c>
      <c r="R130" s="352" t="e">
        <f t="shared" ref="R130:T130" si="71">SUM(R131:R133)</f>
        <v>#REF!</v>
      </c>
      <c r="S130" s="352" t="e">
        <f t="shared" si="45"/>
        <v>#REF!</v>
      </c>
      <c r="T130" s="352" t="e">
        <f t="shared" si="71"/>
        <v>#REF!</v>
      </c>
      <c r="U130" s="352" t="e">
        <f t="shared" si="46"/>
        <v>#REF!</v>
      </c>
      <c r="V130" s="337" t="e">
        <f t="shared" si="43"/>
        <v>#REF!</v>
      </c>
    </row>
    <row r="131" spans="1:23" ht="24.95" customHeight="1" x14ac:dyDescent="0.2">
      <c r="A131" s="285" t="s">
        <v>48</v>
      </c>
      <c r="B131" s="339" t="e">
        <f t="shared" si="65"/>
        <v>#REF!</v>
      </c>
      <c r="C131" s="339" t="e">
        <f t="shared" si="66"/>
        <v>#REF!</v>
      </c>
      <c r="D131" s="427"/>
      <c r="E131" s="427"/>
      <c r="F131" s="427" t="e">
        <f>P131</f>
        <v>#REF!</v>
      </c>
      <c r="G131" s="427"/>
      <c r="H131" s="412">
        <v>0</v>
      </c>
      <c r="I131" s="412"/>
      <c r="J131" s="412"/>
      <c r="K131" s="412" t="e">
        <f>R131</f>
        <v>#REF!</v>
      </c>
      <c r="L131" s="398" t="e">
        <f>Q131</f>
        <v>#REF!</v>
      </c>
      <c r="M131" s="398"/>
      <c r="N131" s="398"/>
      <c r="O131" s="398" t="e">
        <f>T131</f>
        <v>#REF!</v>
      </c>
      <c r="P131" s="353" t="e">
        <f>'สงม. 2 ศึกษา'!#REF!</f>
        <v>#REF!</v>
      </c>
      <c r="Q131" s="353" t="e">
        <f t="shared" si="44"/>
        <v>#REF!</v>
      </c>
      <c r="R131" s="353" t="e">
        <f>'สงม. 2 ศึกษา'!#REF!</f>
        <v>#REF!</v>
      </c>
      <c r="S131" s="353" t="e">
        <f t="shared" si="45"/>
        <v>#REF!</v>
      </c>
      <c r="T131" s="353" t="e">
        <f>'สงม. 2 ศึกษา'!#REF!</f>
        <v>#REF!</v>
      </c>
      <c r="U131" s="353" t="e">
        <f t="shared" si="46"/>
        <v>#REF!</v>
      </c>
      <c r="V131" s="337" t="e">
        <f t="shared" si="43"/>
        <v>#REF!</v>
      </c>
    </row>
    <row r="132" spans="1:23" ht="24.95" customHeight="1" x14ac:dyDescent="0.2">
      <c r="A132" s="285" t="s">
        <v>49</v>
      </c>
      <c r="B132" s="339">
        <f t="shared" si="65"/>
        <v>22055100</v>
      </c>
      <c r="C132" s="339">
        <f t="shared" si="66"/>
        <v>11699865</v>
      </c>
      <c r="D132" s="427">
        <f t="shared" ref="D132:D133" si="72">P132/4</f>
        <v>5264325</v>
      </c>
      <c r="E132" s="427">
        <v>1145597.5</v>
      </c>
      <c r="F132" s="427">
        <v>1145597.5</v>
      </c>
      <c r="G132" s="427">
        <v>1145597.5</v>
      </c>
      <c r="H132" s="412">
        <f t="shared" ref="H132:H133" si="73">R132/4</f>
        <v>224450</v>
      </c>
      <c r="I132" s="412">
        <v>744157.5</v>
      </c>
      <c r="J132" s="412">
        <v>744157.5</v>
      </c>
      <c r="K132" s="412">
        <v>744157.5</v>
      </c>
      <c r="L132" s="398">
        <f t="shared" ref="L132:L133" si="74">T132/4</f>
        <v>25000</v>
      </c>
      <c r="M132" s="398">
        <v>172275</v>
      </c>
      <c r="N132" s="398">
        <v>172275</v>
      </c>
      <c r="O132" s="398">
        <v>172275</v>
      </c>
      <c r="P132" s="353">
        <f>'สงม. 2 ศึกษา'!D11</f>
        <v>21057300</v>
      </c>
      <c r="Q132" s="353">
        <f t="shared" si="44"/>
        <v>-12356182.5</v>
      </c>
      <c r="R132" s="353">
        <f>'สงม. 2 ศึกษา'!E11</f>
        <v>897800</v>
      </c>
      <c r="S132" s="353">
        <f t="shared" si="45"/>
        <v>1559122.5</v>
      </c>
      <c r="T132" s="353">
        <f>'สงม. 2 ศึกษา'!F11</f>
        <v>100000</v>
      </c>
      <c r="U132" s="353">
        <f t="shared" si="46"/>
        <v>441825</v>
      </c>
      <c r="V132" s="337">
        <f t="shared" si="43"/>
        <v>-10355235</v>
      </c>
    </row>
    <row r="133" spans="1:23" ht="24.95" customHeight="1" x14ac:dyDescent="0.2">
      <c r="A133" s="285" t="s">
        <v>220</v>
      </c>
      <c r="B133" s="339" t="e">
        <f t="shared" si="65"/>
        <v>#REF!</v>
      </c>
      <c r="C133" s="339" t="e">
        <f t="shared" si="66"/>
        <v>#REF!</v>
      </c>
      <c r="D133" s="427" t="e">
        <f t="shared" si="72"/>
        <v>#REF!</v>
      </c>
      <c r="E133" s="427">
        <v>1494810</v>
      </c>
      <c r="F133" s="427">
        <v>1494810</v>
      </c>
      <c r="G133" s="427">
        <v>1494810</v>
      </c>
      <c r="H133" s="412" t="e">
        <f t="shared" si="73"/>
        <v>#REF!</v>
      </c>
      <c r="I133" s="412">
        <v>1494810</v>
      </c>
      <c r="J133" s="412">
        <v>1494810</v>
      </c>
      <c r="K133" s="412">
        <v>1494810</v>
      </c>
      <c r="L133" s="398" t="e">
        <f t="shared" si="74"/>
        <v>#REF!</v>
      </c>
      <c r="M133" s="398">
        <v>1494810</v>
      </c>
      <c r="N133" s="398">
        <v>1494810</v>
      </c>
      <c r="O133" s="398">
        <v>1494810</v>
      </c>
      <c r="P133" s="353" t="e">
        <f>'สงม. 2 ศึกษา'!#REF!</f>
        <v>#REF!</v>
      </c>
      <c r="Q133" s="353" t="e">
        <f t="shared" si="44"/>
        <v>#REF!</v>
      </c>
      <c r="R133" s="353" t="e">
        <f>'สงม. 2 ศึกษา'!#REF!</f>
        <v>#REF!</v>
      </c>
      <c r="S133" s="353" t="e">
        <f t="shared" si="45"/>
        <v>#REF!</v>
      </c>
      <c r="T133" s="353" t="e">
        <f>'สงม. 2 ศึกษา'!#REF!</f>
        <v>#REF!</v>
      </c>
      <c r="U133" s="353" t="e">
        <f t="shared" si="46"/>
        <v>#REF!</v>
      </c>
      <c r="V133" s="337" t="e">
        <f t="shared" si="43"/>
        <v>#REF!</v>
      </c>
    </row>
    <row r="134" spans="1:23" ht="24.95" customHeight="1" x14ac:dyDescent="0.2">
      <c r="A134" s="338" t="s">
        <v>219</v>
      </c>
      <c r="B134" s="335" t="e">
        <f t="shared" si="65"/>
        <v>#REF!</v>
      </c>
      <c r="C134" s="335">
        <f t="shared" si="66"/>
        <v>0</v>
      </c>
      <c r="D134" s="426"/>
      <c r="E134" s="426"/>
      <c r="F134" s="426"/>
      <c r="G134" s="426"/>
      <c r="H134" s="411"/>
      <c r="I134" s="411"/>
      <c r="J134" s="411"/>
      <c r="K134" s="411"/>
      <c r="L134" s="397"/>
      <c r="M134" s="397"/>
      <c r="N134" s="397"/>
      <c r="O134" s="397"/>
      <c r="P134" s="352" t="e">
        <f>SUM(P135:P138)</f>
        <v>#REF!</v>
      </c>
      <c r="Q134" s="352" t="e">
        <f t="shared" si="44"/>
        <v>#REF!</v>
      </c>
      <c r="R134" s="352" t="e">
        <f t="shared" ref="R134:T134" si="75">SUM(R135:R138)</f>
        <v>#REF!</v>
      </c>
      <c r="S134" s="352" t="e">
        <f t="shared" si="45"/>
        <v>#REF!</v>
      </c>
      <c r="T134" s="352" t="e">
        <f t="shared" si="75"/>
        <v>#REF!</v>
      </c>
      <c r="U134" s="352" t="e">
        <f t="shared" si="46"/>
        <v>#REF!</v>
      </c>
      <c r="V134" s="337" t="e">
        <f t="shared" si="43"/>
        <v>#REF!</v>
      </c>
    </row>
    <row r="135" spans="1:23" ht="24.95" customHeight="1" x14ac:dyDescent="0.2">
      <c r="A135" s="285" t="s">
        <v>48</v>
      </c>
      <c r="B135" s="339" t="e">
        <f t="shared" si="65"/>
        <v>#REF!</v>
      </c>
      <c r="C135" s="339" t="e">
        <f t="shared" si="66"/>
        <v>#REF!</v>
      </c>
      <c r="D135" s="427"/>
      <c r="E135" s="427"/>
      <c r="F135" s="427" t="e">
        <f>P135</f>
        <v>#REF!</v>
      </c>
      <c r="G135" s="427"/>
      <c r="H135" s="412">
        <v>0</v>
      </c>
      <c r="I135" s="412"/>
      <c r="J135" s="412"/>
      <c r="K135" s="412" t="e">
        <f>R135</f>
        <v>#REF!</v>
      </c>
      <c r="L135" s="398" t="e">
        <f>Q135</f>
        <v>#REF!</v>
      </c>
      <c r="M135" s="398"/>
      <c r="N135" s="398"/>
      <c r="O135" s="398" t="e">
        <f>T135</f>
        <v>#REF!</v>
      </c>
      <c r="P135" s="353" t="e">
        <f>'สงม. 2 ศึกษา'!#REF!</f>
        <v>#REF!</v>
      </c>
      <c r="Q135" s="353" t="e">
        <f t="shared" si="44"/>
        <v>#REF!</v>
      </c>
      <c r="R135" s="353" t="e">
        <f>'สงม. 2 ศึกษา'!#REF!</f>
        <v>#REF!</v>
      </c>
      <c r="S135" s="353" t="e">
        <f t="shared" si="45"/>
        <v>#REF!</v>
      </c>
      <c r="T135" s="353" t="e">
        <f>'สงม. 2 ศึกษา'!#REF!</f>
        <v>#REF!</v>
      </c>
      <c r="U135" s="353" t="e">
        <f t="shared" si="46"/>
        <v>#REF!</v>
      </c>
      <c r="V135" s="337" t="e">
        <f t="shared" si="43"/>
        <v>#REF!</v>
      </c>
    </row>
    <row r="136" spans="1:23" ht="24.95" customHeight="1" x14ac:dyDescent="0.2">
      <c r="A136" s="285" t="s">
        <v>49</v>
      </c>
      <c r="B136" s="339">
        <f t="shared" si="65"/>
        <v>40659500</v>
      </c>
      <c r="C136" s="339">
        <f t="shared" si="66"/>
        <v>24599960</v>
      </c>
      <c r="D136" s="427">
        <f t="shared" ref="D136:D139" si="76">P136/4</f>
        <v>2024825</v>
      </c>
      <c r="E136" s="427">
        <v>2665848.5</v>
      </c>
      <c r="F136" s="427">
        <v>2665848.5</v>
      </c>
      <c r="G136" s="427">
        <v>2665848.5</v>
      </c>
      <c r="H136" s="412">
        <f t="shared" ref="H136:H139" si="77">R136/4</f>
        <v>6121050</v>
      </c>
      <c r="I136" s="412">
        <v>1743888.5</v>
      </c>
      <c r="J136" s="412">
        <v>1743888.5</v>
      </c>
      <c r="K136" s="412">
        <v>1743888.5</v>
      </c>
      <c r="L136" s="398">
        <f t="shared" ref="L136:L139" si="78">T136/4</f>
        <v>2019000</v>
      </c>
      <c r="M136" s="398">
        <v>401958</v>
      </c>
      <c r="N136" s="398">
        <v>401958</v>
      </c>
      <c r="O136" s="398">
        <v>401958</v>
      </c>
      <c r="P136" s="353">
        <f>'สงม. 2 ศึกษา'!D65</f>
        <v>8099300</v>
      </c>
      <c r="Q136" s="353">
        <f t="shared" si="44"/>
        <v>1923070.5</v>
      </c>
      <c r="R136" s="353">
        <f>'สงม. 2 ศึกษา'!E65</f>
        <v>24484200</v>
      </c>
      <c r="S136" s="353">
        <f t="shared" si="45"/>
        <v>-13131484.5</v>
      </c>
      <c r="T136" s="353">
        <f>'สงม. 2 ศึกษา'!F65</f>
        <v>8076000</v>
      </c>
      <c r="U136" s="353">
        <f t="shared" si="46"/>
        <v>-4851126</v>
      </c>
      <c r="V136" s="337">
        <f t="shared" si="43"/>
        <v>-16059540</v>
      </c>
    </row>
    <row r="137" spans="1:23" ht="24.95" customHeight="1" x14ac:dyDescent="0.2">
      <c r="A137" s="285" t="s">
        <v>220</v>
      </c>
      <c r="B137" s="339">
        <f t="shared" si="65"/>
        <v>48810000</v>
      </c>
      <c r="C137" s="339">
        <f t="shared" si="66"/>
        <v>43593510</v>
      </c>
      <c r="D137" s="427">
        <f t="shared" si="76"/>
        <v>7355250</v>
      </c>
      <c r="E137" s="427">
        <v>3487890</v>
      </c>
      <c r="F137" s="427">
        <v>3487890</v>
      </c>
      <c r="G137" s="427">
        <v>3487890</v>
      </c>
      <c r="H137" s="412">
        <f t="shared" si="77"/>
        <v>3250000</v>
      </c>
      <c r="I137" s="412">
        <v>3487890</v>
      </c>
      <c r="J137" s="412">
        <v>3487890</v>
      </c>
      <c r="K137" s="412">
        <v>3487890</v>
      </c>
      <c r="L137" s="398">
        <f t="shared" si="78"/>
        <v>1597250</v>
      </c>
      <c r="M137" s="398">
        <v>3487890</v>
      </c>
      <c r="N137" s="398">
        <v>3487890</v>
      </c>
      <c r="O137" s="398">
        <v>3487890</v>
      </c>
      <c r="P137" s="353">
        <f>'สงม. 2 ศึกษา'!D87</f>
        <v>29421000</v>
      </c>
      <c r="Q137" s="353">
        <f t="shared" si="44"/>
        <v>-11602080</v>
      </c>
      <c r="R137" s="353">
        <f>'สงม. 2 ศึกษา'!E87</f>
        <v>13000000</v>
      </c>
      <c r="S137" s="353">
        <f t="shared" si="45"/>
        <v>713670</v>
      </c>
      <c r="T137" s="353">
        <f>'สงม. 2 ศึกษา'!F87</f>
        <v>6389000</v>
      </c>
      <c r="U137" s="353">
        <f t="shared" si="46"/>
        <v>5671920</v>
      </c>
      <c r="V137" s="337">
        <f t="shared" ref="V137:V142" si="79">SUM(D137:O137)-B137</f>
        <v>-5216490</v>
      </c>
    </row>
    <row r="138" spans="1:23" ht="24.95" customHeight="1" x14ac:dyDescent="0.2">
      <c r="A138" s="285" t="s">
        <v>221</v>
      </c>
      <c r="B138" s="339" t="e">
        <f t="shared" si="65"/>
        <v>#REF!</v>
      </c>
      <c r="C138" s="339" t="e">
        <f t="shared" si="66"/>
        <v>#REF!</v>
      </c>
      <c r="D138" s="427" t="e">
        <f t="shared" si="76"/>
        <v>#REF!</v>
      </c>
      <c r="E138" s="427">
        <v>169125</v>
      </c>
      <c r="F138" s="427">
        <v>169125</v>
      </c>
      <c r="G138" s="427">
        <v>169125</v>
      </c>
      <c r="H138" s="412" t="e">
        <f t="shared" si="77"/>
        <v>#REF!</v>
      </c>
      <c r="I138" s="412">
        <v>2086750</v>
      </c>
      <c r="J138" s="412">
        <v>2086750</v>
      </c>
      <c r="K138" s="412">
        <v>2086750</v>
      </c>
      <c r="L138" s="398" t="e">
        <f t="shared" si="78"/>
        <v>#REF!</v>
      </c>
      <c r="M138" s="398">
        <v>7200</v>
      </c>
      <c r="N138" s="398">
        <v>7200</v>
      </c>
      <c r="O138" s="398">
        <v>7200</v>
      </c>
      <c r="P138" s="353" t="e">
        <f>'สงม. 2 ศึกษา'!#REF!+'สงม. 2 ศึกษา'!D93+'สงม. 2 ศึกษา'!D95+'สงม. 2 ศึกษา'!D97+'สงม. 2 ศึกษา'!#REF!+'สงม. 2 ศึกษา'!D101+'สงม. 2 ศึกษา'!D103+'สงม. 2 ศึกษา'!#REF!+'สงม. 2 ศึกษา'!D201</f>
        <v>#REF!</v>
      </c>
      <c r="Q138" s="353" t="e">
        <f t="shared" si="44"/>
        <v>#REF!</v>
      </c>
      <c r="R138" s="353" t="e">
        <f>'สงม. 2 ศึกษา'!#REF!+'สงม. 2 ศึกษา'!E93+'สงม. 2 ศึกษา'!E95+'สงม. 2 ศึกษา'!E97+'สงม. 2 ศึกษา'!#REF!+'สงม. 2 ศึกษา'!E101+'สงม. 2 ศึกษา'!E103+'สงม. 2 ศึกษา'!#REF!+'สงม. 2 ศึกษา'!E201</f>
        <v>#REF!</v>
      </c>
      <c r="S138" s="353" t="e">
        <f t="shared" si="45"/>
        <v>#REF!</v>
      </c>
      <c r="T138" s="353" t="e">
        <f>'สงม. 2 ศึกษา'!#REF!+'สงม. 2 ศึกษา'!F93+'สงม. 2 ศึกษา'!F95+'สงม. 2 ศึกษา'!F97+'สงม. 2 ศึกษา'!#REF!+'สงม. 2 ศึกษา'!F101+'สงม. 2 ศึกษา'!F103+'สงม. 2 ศึกษา'!#REF!+'สงม. 2 ศึกษา'!F201</f>
        <v>#REF!</v>
      </c>
      <c r="U138" s="353" t="e">
        <f t="shared" si="46"/>
        <v>#REF!</v>
      </c>
      <c r="V138" s="337" t="e">
        <f t="shared" si="79"/>
        <v>#REF!</v>
      </c>
      <c r="W138" s="287" t="e">
        <f>'สงม.1 (แยกฝ่าย)'!C251+'สงม.1 (แยกฝ่าย)'!D251+'สงม.1 (แยกฝ่าย)'!E251</f>
        <v>#REF!</v>
      </c>
    </row>
    <row r="139" spans="1:23" s="240" customFormat="1" ht="24.95" customHeight="1" x14ac:dyDescent="0.2">
      <c r="A139" s="354" t="s">
        <v>197</v>
      </c>
      <c r="B139" s="335" t="e">
        <f t="shared" si="65"/>
        <v>#REF!</v>
      </c>
      <c r="C139" s="335" t="e">
        <f t="shared" si="66"/>
        <v>#REF!</v>
      </c>
      <c r="D139" s="426" t="e">
        <f t="shared" si="76"/>
        <v>#REF!</v>
      </c>
      <c r="E139" s="426">
        <v>1931785</v>
      </c>
      <c r="F139" s="426">
        <v>1931785</v>
      </c>
      <c r="G139" s="426">
        <v>1931785</v>
      </c>
      <c r="H139" s="411" t="e">
        <f t="shared" si="77"/>
        <v>#REF!</v>
      </c>
      <c r="I139" s="411">
        <v>2154035</v>
      </c>
      <c r="J139" s="411">
        <v>2154035</v>
      </c>
      <c r="K139" s="411">
        <v>2154035</v>
      </c>
      <c r="L139" s="397" t="e">
        <f t="shared" si="78"/>
        <v>#REF!</v>
      </c>
      <c r="M139" s="397">
        <v>872580</v>
      </c>
      <c r="N139" s="397">
        <v>872580</v>
      </c>
      <c r="O139" s="397">
        <v>872580</v>
      </c>
      <c r="P139" s="352" t="e">
        <f>'สงม. 2 ศึกษา'!D107+'สงม. 2 ศึกษา'!#REF!+'สงม. 2 ศึกษา'!#REF!+'สงม. 2 ศึกษา'!#REF!+'สงม. 2 ศึกษา'!#REF!+'สงม. 2 ศึกษา'!D203+'สงม. 2 ศึกษา'!D205+'สงม. 2 ศึกษา'!D207+'สงม. 2 ศึกษา'!D209+'สงม. 2 ศึกษา'!#REF!+'สงม. 2 ศึกษา'!#REF!+'สงม. 2 ศึกษา'!#REF!+'สงม. 2 ศึกษา'!D105+'สงม. 2 ศึกษา'!D109</f>
        <v>#REF!</v>
      </c>
      <c r="Q139" s="352" t="e">
        <f t="shared" ref="Q139:Q142" si="80">D139+E139+F139+G139-P139</f>
        <v>#REF!</v>
      </c>
      <c r="R139" s="352" t="e">
        <f>'สงม. 2 ศึกษา'!E107+'สงม. 2 ศึกษา'!#REF!+'สงม. 2 ศึกษา'!#REF!+'สงม. 2 ศึกษา'!#REF!+'สงม. 2 ศึกษา'!#REF!+'สงม. 2 ศึกษา'!E203+'สงม. 2 ศึกษา'!E205+'สงม. 2 ศึกษา'!E207+'สงม. 2 ศึกษา'!E209+'สงม. 2 ศึกษา'!#REF!+'สงม. 2 ศึกษา'!#REF!+'สงม. 2 ศึกษา'!#REF!+'สงม. 2 ศึกษา'!E105+'สงม. 2 ศึกษา'!E109</f>
        <v>#REF!</v>
      </c>
      <c r="S139" s="352" t="e">
        <f t="shared" ref="S139:S142" si="81">H139+I139+J139+K139-R139</f>
        <v>#REF!</v>
      </c>
      <c r="T139" s="352" t="e">
        <f>'สงม. 2 ศึกษา'!F107+'สงม. 2 ศึกษา'!#REF!+'สงม. 2 ศึกษา'!#REF!+'สงม. 2 ศึกษา'!#REF!+'สงม. 2 ศึกษา'!#REF!+'สงม. 2 ศึกษา'!F203+'สงม. 2 ศึกษา'!F205+'สงม. 2 ศึกษา'!F207+'สงม. 2 ศึกษา'!F209+'สงม. 2 ศึกษา'!#REF!+'สงม. 2 ศึกษา'!#REF!+'สงม. 2 ศึกษา'!#REF!+'สงม. 2 ศึกษา'!F105+'สงม. 2 ศึกษา'!F109</f>
        <v>#REF!</v>
      </c>
      <c r="U139" s="352" t="e">
        <f t="shared" ref="U139:U142" si="82">L139+M139+N139+O139-T139</f>
        <v>#REF!</v>
      </c>
      <c r="V139" s="337" t="e">
        <f t="shared" si="79"/>
        <v>#REF!</v>
      </c>
      <c r="W139" s="337" t="e">
        <f>P139+R139+T139+P129+R129+T129</f>
        <v>#REF!</v>
      </c>
    </row>
    <row r="140" spans="1:23" ht="24.95" customHeight="1" x14ac:dyDescent="0.2">
      <c r="A140" s="239" t="s">
        <v>222</v>
      </c>
      <c r="B140" s="389" t="e">
        <f>B8+B18+B23+B28+B43+B59+B80+B95+B117+B129</f>
        <v>#REF!</v>
      </c>
      <c r="C140" s="335">
        <f t="shared" si="66"/>
        <v>0</v>
      </c>
      <c r="D140" s="426"/>
      <c r="E140" s="426"/>
      <c r="F140" s="426"/>
      <c r="G140" s="426"/>
      <c r="H140" s="411"/>
      <c r="I140" s="411"/>
      <c r="J140" s="411"/>
      <c r="K140" s="411"/>
      <c r="L140" s="397"/>
      <c r="M140" s="397"/>
      <c r="N140" s="397"/>
      <c r="O140" s="397"/>
      <c r="P140" s="352" t="e">
        <f>P8+P18+P23+P28+P43+P59+P80+P95+P117+P129</f>
        <v>#REF!</v>
      </c>
      <c r="Q140" s="352" t="e">
        <f t="shared" si="80"/>
        <v>#REF!</v>
      </c>
      <c r="R140" s="352" t="e">
        <f>R8+R18+R23+R28+R43+R59+R80+R95+R117+R129</f>
        <v>#REF!</v>
      </c>
      <c r="S140" s="352" t="e">
        <f t="shared" si="81"/>
        <v>#REF!</v>
      </c>
      <c r="T140" s="352" t="e">
        <f>T8+T18+T23+T28+T43+T59+T80+T95+T117+T129</f>
        <v>#REF!</v>
      </c>
      <c r="U140" s="352" t="e">
        <f t="shared" si="82"/>
        <v>#REF!</v>
      </c>
      <c r="V140" s="337" t="e">
        <f t="shared" si="79"/>
        <v>#REF!</v>
      </c>
    </row>
    <row r="141" spans="1:23" ht="24.95" customHeight="1" x14ac:dyDescent="0.2">
      <c r="A141" s="239" t="s">
        <v>223</v>
      </c>
      <c r="B141" s="392" t="e">
        <f>B16+B53+B103+B127+B139</f>
        <v>#REF!</v>
      </c>
      <c r="C141" s="335">
        <f t="shared" si="66"/>
        <v>0</v>
      </c>
      <c r="D141" s="426"/>
      <c r="E141" s="426"/>
      <c r="F141" s="426"/>
      <c r="G141" s="426"/>
      <c r="H141" s="411"/>
      <c r="I141" s="411"/>
      <c r="J141" s="411"/>
      <c r="K141" s="411"/>
      <c r="L141" s="397"/>
      <c r="M141" s="397"/>
      <c r="N141" s="397"/>
      <c r="O141" s="397"/>
      <c r="P141" s="352" t="e">
        <f>P16+P53+P103+P127+P139</f>
        <v>#REF!</v>
      </c>
      <c r="Q141" s="352" t="e">
        <f t="shared" si="80"/>
        <v>#REF!</v>
      </c>
      <c r="R141" s="352" t="e">
        <f>R16+R53+R103+R127+R139</f>
        <v>#REF!</v>
      </c>
      <c r="S141" s="352" t="e">
        <f t="shared" si="81"/>
        <v>#REF!</v>
      </c>
      <c r="T141" s="352" t="e">
        <f>T16+T53+T103+T127+T139</f>
        <v>#REF!</v>
      </c>
      <c r="U141" s="352" t="e">
        <f t="shared" si="82"/>
        <v>#REF!</v>
      </c>
      <c r="V141" s="337" t="e">
        <f t="shared" si="79"/>
        <v>#REF!</v>
      </c>
      <c r="W141" s="287" t="e">
        <f>W142+W154</f>
        <v>#REF!</v>
      </c>
    </row>
    <row r="142" spans="1:23" ht="24.95" customHeight="1" thickBot="1" x14ac:dyDescent="0.25">
      <c r="A142" s="342" t="s">
        <v>1</v>
      </c>
      <c r="B142" s="393" t="e">
        <f>B140+B141</f>
        <v>#REF!</v>
      </c>
      <c r="C142" s="343" t="e">
        <f t="shared" si="66"/>
        <v>#REF!</v>
      </c>
      <c r="D142" s="431" t="e">
        <f>D10+D11+D13+D14+D15+D20+D21+D25+D26+D30+D31+D45+D46+D48+D49+D51+D52+D55+D56+D57+D61+D62+D64+D65+D82+D83+D85+D86+D88+D89+D90+D92+D93+D97+D98+D100+D101+D102+D103+D119+D120+D122+D123+D125+D126+D127+D131+D132+D133+D135+D136+D137+D138+D139+D53+D16</f>
        <v>#REF!</v>
      </c>
      <c r="E142" s="431">
        <f t="shared" ref="E142:O142" si="83">E10+E11+E13+E14+E15+E20+E21+E25+E26+E30+E31+E45+E46+E48+E49+E51+E52+E55+E56+E57+E61+E62+E64+E65+E82+E83+E85+E86+E88+E89+E90+E92+E93+E97+E98+E100+E101+E102+E103+E119+E120+E122+E123+E125+E126+E127+E131+E132+E133+E135+E136+E137+E138+E139+E53+E16</f>
        <v>17229682</v>
      </c>
      <c r="F142" s="431" t="e">
        <f t="shared" si="83"/>
        <v>#REF!</v>
      </c>
      <c r="G142" s="431">
        <f t="shared" si="83"/>
        <v>17229682</v>
      </c>
      <c r="H142" s="416" t="e">
        <f t="shared" si="83"/>
        <v>#REF!</v>
      </c>
      <c r="I142" s="416">
        <f t="shared" si="83"/>
        <v>19436738.5</v>
      </c>
      <c r="J142" s="416">
        <f t="shared" si="83"/>
        <v>19436738.5</v>
      </c>
      <c r="K142" s="416" t="e">
        <f t="shared" si="83"/>
        <v>#REF!</v>
      </c>
      <c r="L142" s="402" t="e">
        <f t="shared" si="83"/>
        <v>#REF!</v>
      </c>
      <c r="M142" s="402">
        <f t="shared" si="83"/>
        <v>10782169.5</v>
      </c>
      <c r="N142" s="402">
        <f t="shared" si="83"/>
        <v>10782169.5</v>
      </c>
      <c r="O142" s="402" t="e">
        <f t="shared" si="83"/>
        <v>#REF!</v>
      </c>
      <c r="P142" s="358" t="e">
        <f t="shared" ref="P142:T142" si="84">P140+P141</f>
        <v>#REF!</v>
      </c>
      <c r="Q142" s="358" t="e">
        <f t="shared" si="80"/>
        <v>#REF!</v>
      </c>
      <c r="R142" s="358" t="e">
        <f t="shared" si="84"/>
        <v>#REF!</v>
      </c>
      <c r="S142" s="358" t="e">
        <f t="shared" si="81"/>
        <v>#REF!</v>
      </c>
      <c r="T142" s="358" t="e">
        <f t="shared" si="84"/>
        <v>#REF!</v>
      </c>
      <c r="U142" s="358" t="e">
        <f t="shared" si="82"/>
        <v>#REF!</v>
      </c>
      <c r="V142" s="337" t="e">
        <f t="shared" si="79"/>
        <v>#REF!</v>
      </c>
      <c r="W142" s="287" t="e">
        <f>W143/4</f>
        <v>#REF!</v>
      </c>
    </row>
    <row r="143" spans="1:23" ht="24.95" customHeight="1" thickTop="1" x14ac:dyDescent="0.2">
      <c r="C143" s="287" t="e">
        <f>C142-B142</f>
        <v>#REF!</v>
      </c>
      <c r="F143" s="432" t="e">
        <f>SUM(D142:G142)</f>
        <v>#REF!</v>
      </c>
      <c r="G143" s="433" t="e">
        <f>SUM(D142:G142)-P142</f>
        <v>#REF!</v>
      </c>
      <c r="H143" s="417"/>
      <c r="I143" s="417"/>
      <c r="J143" s="418" t="e">
        <f>SUM(H142:K142)</f>
        <v>#REF!</v>
      </c>
      <c r="K143" s="418" t="e">
        <f>SUM(H142:K142)-R142</f>
        <v>#REF!</v>
      </c>
      <c r="L143" s="403"/>
      <c r="M143" s="403"/>
      <c r="N143" s="404" t="e">
        <f>SUM(L142:O142)</f>
        <v>#REF!</v>
      </c>
      <c r="O143" s="404" t="e">
        <f>SUM(L142:O142)-T142</f>
        <v>#REF!</v>
      </c>
      <c r="W143" s="287" t="e">
        <f>P153-W153</f>
        <v>#REF!</v>
      </c>
    </row>
    <row r="144" spans="1:23" ht="24.95" customHeight="1" thickBot="1" x14ac:dyDescent="0.25">
      <c r="B144" s="287" t="e">
        <f>B8+B18+B23+B28+B43+B59+B80+B95+B117+B129</f>
        <v>#REF!</v>
      </c>
      <c r="F144" s="434" t="e">
        <f>F143+J143+N143</f>
        <v>#REF!</v>
      </c>
      <c r="W144" s="287"/>
    </row>
    <row r="145" spans="1:23" ht="24.95" customHeight="1" thickTop="1" x14ac:dyDescent="0.2">
      <c r="B145" s="287" t="e">
        <f>C16+C53+C103+C127+C139</f>
        <v>#REF!</v>
      </c>
      <c r="W145" s="287"/>
    </row>
    <row r="146" spans="1:23" ht="24.95" customHeight="1" x14ac:dyDescent="0.2">
      <c r="B146" s="287" t="e">
        <f>B140+B141</f>
        <v>#REF!</v>
      </c>
      <c r="D146" s="432" t="e">
        <f>D142-17203007</f>
        <v>#REF!</v>
      </c>
      <c r="W146" s="287"/>
    </row>
    <row r="147" spans="1:23" ht="24.95" customHeight="1" x14ac:dyDescent="0.2">
      <c r="W147" s="287"/>
    </row>
    <row r="148" spans="1:23" ht="24.95" customHeight="1" x14ac:dyDescent="0.2">
      <c r="B148" s="287" t="e">
        <f>P142+R142+T142</f>
        <v>#REF!</v>
      </c>
      <c r="W148" s="287"/>
    </row>
    <row r="149" spans="1:23" ht="24.95" customHeight="1" x14ac:dyDescent="0.2">
      <c r="B149" s="335">
        <f>P149+R149+T149</f>
        <v>0</v>
      </c>
      <c r="W149" s="287"/>
    </row>
    <row r="150" spans="1:23" ht="24.95" customHeight="1" x14ac:dyDescent="0.2">
      <c r="I150" s="419" t="e">
        <f>SUM(D158:I158)</f>
        <v>#REF!</v>
      </c>
      <c r="J150" s="419" t="e">
        <f>I150+I151</f>
        <v>#REF!</v>
      </c>
      <c r="W150" s="287" t="e">
        <f>D153+E153+F153+G153+H153+I153</f>
        <v>#REF!</v>
      </c>
    </row>
    <row r="151" spans="1:23" ht="24.95" customHeight="1" x14ac:dyDescent="0.2">
      <c r="I151" s="419" t="e">
        <f>SUM(D155:I155)</f>
        <v>#REF!</v>
      </c>
      <c r="W151" s="287" t="e">
        <f>D153+E153+F153+G153+H153+I153+D158+E158+F158+G158+H158+I158</f>
        <v>#REF!</v>
      </c>
    </row>
    <row r="152" spans="1:23" ht="24.95" customHeight="1" x14ac:dyDescent="0.2">
      <c r="B152" s="239" t="s">
        <v>6</v>
      </c>
      <c r="C152" s="239"/>
      <c r="D152" s="332">
        <v>23651</v>
      </c>
      <c r="E152" s="332">
        <v>23682</v>
      </c>
      <c r="F152" s="332">
        <v>23712</v>
      </c>
      <c r="G152" s="332">
        <v>23743</v>
      </c>
      <c r="H152" s="333">
        <v>23774</v>
      </c>
      <c r="I152" s="333">
        <v>23802</v>
      </c>
      <c r="J152" s="333">
        <v>23833</v>
      </c>
      <c r="K152" s="333">
        <v>23863</v>
      </c>
      <c r="L152" s="376">
        <v>23894</v>
      </c>
      <c r="M152" s="376">
        <v>23924</v>
      </c>
      <c r="N152" s="376">
        <v>23955</v>
      </c>
      <c r="O152" s="376">
        <v>23986</v>
      </c>
      <c r="P152" s="351" t="s">
        <v>250</v>
      </c>
      <c r="Q152" s="351"/>
      <c r="R152" s="351" t="s">
        <v>251</v>
      </c>
      <c r="S152" s="351"/>
      <c r="T152" s="351" t="s">
        <v>252</v>
      </c>
      <c r="U152" s="360"/>
      <c r="W152" s="287"/>
    </row>
    <row r="153" spans="1:23" ht="24.95" customHeight="1" x14ac:dyDescent="0.2">
      <c r="A153" s="219" t="s">
        <v>247</v>
      </c>
      <c r="B153" s="324" t="e">
        <f>B10+B11+B13+B14+B20+B21+B25+B26+B30+B31+B45+B46+B48+B49+B51+B52+B55+B56+B61+B62+B64+B65+B82+B83+B85+B86+B88+B89+B92+B93+B97+B98+B100+B101+B119+B120+B122+B123+B125+B126+B131+B132+B135+B136</f>
        <v>#REF!</v>
      </c>
      <c r="C153" s="324"/>
      <c r="D153" s="368" t="e">
        <f t="shared" ref="D153:O153" si="85">D10+D11+D13+D14+D20+D21+D25+D26+D30+D31+D45+D46+D48+D49+D51+D52+D55+D56+D61+D62+D64+D65+D82+D83+D85+D86+D88+D89+D92+D93+D97+D98+D100+D101+D119+D120+D122+D123+D125+D126+D131+D132+D135+D136</f>
        <v>#REF!</v>
      </c>
      <c r="E153" s="368">
        <f t="shared" si="85"/>
        <v>8917780</v>
      </c>
      <c r="F153" s="368" t="e">
        <f t="shared" si="85"/>
        <v>#REF!</v>
      </c>
      <c r="G153" s="368">
        <f t="shared" si="85"/>
        <v>8917780</v>
      </c>
      <c r="H153" s="372" t="e">
        <f t="shared" si="85"/>
        <v>#REF!</v>
      </c>
      <c r="I153" s="372">
        <f t="shared" si="85"/>
        <v>7259162.75</v>
      </c>
      <c r="J153" s="372">
        <f t="shared" si="85"/>
        <v>7259162.75</v>
      </c>
      <c r="K153" s="372" t="e">
        <f t="shared" si="85"/>
        <v>#REF!</v>
      </c>
      <c r="L153" s="377" t="e">
        <f t="shared" si="85"/>
        <v>#REF!</v>
      </c>
      <c r="M153" s="377">
        <f t="shared" si="85"/>
        <v>3752347.25</v>
      </c>
      <c r="N153" s="377">
        <f t="shared" si="85"/>
        <v>3752347.25</v>
      </c>
      <c r="O153" s="378" t="e">
        <f t="shared" si="85"/>
        <v>#REF!</v>
      </c>
      <c r="P153" s="344" t="e">
        <f>P10+P11+P13+P14+P20+P21+P25+P26+P30+P31+P45+P46+P48+P49+P51+P52+P55+P56+P61+P62+P64+P65+P82+P83+P85+P86+P88+P89+P92+P93+P97+P98+P100+P101+P119+P120+P122+P123+P125+P126+P131+P132+P135+P136</f>
        <v>#REF!</v>
      </c>
      <c r="Q153" s="344"/>
      <c r="R153" s="344" t="e">
        <f>R10+R11+R13+R14+R20+R21+R25+R26+R30+R31+R45+R46+R48+R49+R51+R52+R55+R56+R61+R62+R64+R65+R82+R83+R85+R86+R88+R89+R92+R93+R97+R98+R100+R101+R119+R120+R122+R123+R125+R126+R131+R132+R135+R136</f>
        <v>#REF!</v>
      </c>
      <c r="S153" s="344"/>
      <c r="T153" s="361" t="e">
        <f>T10+T11+T13+T14+T20+T21+T25+T26+T30+T31+T45+T46+T48+T49+T51+T52+T55+T56+T61+T62+T64+T65+T82+T83+T85+T86+T88+T89+T92+T93+T97+T98+T100+T101+T119+T120+T122+T123+T125+T126+T131+T132+T135+T136</f>
        <v>#REF!</v>
      </c>
      <c r="U153" s="359"/>
      <c r="V153" s="287"/>
      <c r="W153" s="345" t="e">
        <f>'สงม. 2 ปกครอง'!D22+'สงม. 2 ปกครอง'!D21+'สงม. 2 ปกครอง'!#REF!+'สงม. 2 ปกครอง'!#REF!+'สงม. 2 ปกครอง'!D23+'สงม. 2 ปกครอง'!#REF!+'สงม. 2 ทะเบียน'!D19+'สงม. 2 คลัง'!D19+'สงม. 2 รายได้'!D19+'สงม. 2 รักษาฯ'!#REF!+'สงม. 2 รักษาฯ'!#REF!+'สงม. 2 รักษาฯ'!D116+'สงม. 2 สวล.'!#REF!+'สงม. 2 สวล.'!#REF!+'สงม. 2 สวล.'!#REF!+'สงม. 2 สวล.'!#REF!+'สงม. 2 สวล.'!D43+'สงม. 2 สวล.'!D71+'สงม. 2 สวล.'!#REF!+'สงม. 2 สวล.'!#REF!+'สงม. 2 ศึกษา'!#REF!+'สงม. 2 ศึกษา'!#REF!+'สงม. 2 ศึกษา'!D20+'สงม. 2 ศึกษา'!D19</f>
        <v>#REF!</v>
      </c>
    </row>
    <row r="154" spans="1:23" ht="24.95" customHeight="1" x14ac:dyDescent="0.2">
      <c r="A154" s="219" t="s">
        <v>248</v>
      </c>
      <c r="B154" s="325" t="e">
        <f>B137+B133</f>
        <v>#REF!</v>
      </c>
      <c r="C154" s="325"/>
      <c r="D154" s="369" t="e">
        <f t="shared" ref="D154:O154" si="86">D137+D133</f>
        <v>#REF!</v>
      </c>
      <c r="E154" s="369">
        <f t="shared" si="86"/>
        <v>4982700</v>
      </c>
      <c r="F154" s="369">
        <f t="shared" si="86"/>
        <v>4982700</v>
      </c>
      <c r="G154" s="369">
        <f t="shared" si="86"/>
        <v>4982700</v>
      </c>
      <c r="H154" s="373" t="e">
        <f t="shared" si="86"/>
        <v>#REF!</v>
      </c>
      <c r="I154" s="373">
        <f t="shared" si="86"/>
        <v>4982700</v>
      </c>
      <c r="J154" s="373">
        <f t="shared" si="86"/>
        <v>4982700</v>
      </c>
      <c r="K154" s="373">
        <f t="shared" si="86"/>
        <v>4982700</v>
      </c>
      <c r="L154" s="379" t="e">
        <f t="shared" si="86"/>
        <v>#REF!</v>
      </c>
      <c r="M154" s="379">
        <f t="shared" si="86"/>
        <v>4982700</v>
      </c>
      <c r="N154" s="379">
        <f t="shared" si="86"/>
        <v>4982700</v>
      </c>
      <c r="O154" s="380">
        <f t="shared" si="86"/>
        <v>4982700</v>
      </c>
      <c r="P154" s="346" t="e">
        <f>P137+P133</f>
        <v>#REF!</v>
      </c>
      <c r="Q154" s="346"/>
      <c r="R154" s="346" t="e">
        <f>R137+R133</f>
        <v>#REF!</v>
      </c>
      <c r="S154" s="346"/>
      <c r="T154" s="362" t="e">
        <f>T137+T133</f>
        <v>#REF!</v>
      </c>
      <c r="U154" s="359"/>
      <c r="W154" s="287" t="e">
        <f>W153/12</f>
        <v>#REF!</v>
      </c>
    </row>
    <row r="155" spans="1:23" ht="24.95" customHeight="1" x14ac:dyDescent="0.2">
      <c r="A155" s="219" t="s">
        <v>249</v>
      </c>
      <c r="B155" s="326" t="e">
        <f>B15+B57+B90+B102+B138</f>
        <v>#REF!</v>
      </c>
      <c r="C155" s="326"/>
      <c r="D155" s="370" t="e">
        <f t="shared" ref="D155:O155" si="87">D15+D57+D90+D102+D138</f>
        <v>#REF!</v>
      </c>
      <c r="E155" s="370">
        <f t="shared" si="87"/>
        <v>1264359.5</v>
      </c>
      <c r="F155" s="370">
        <f t="shared" si="87"/>
        <v>1264359.5</v>
      </c>
      <c r="G155" s="370">
        <f t="shared" si="87"/>
        <v>1264359.5</v>
      </c>
      <c r="H155" s="374" t="e">
        <f t="shared" si="87"/>
        <v>#REF!</v>
      </c>
      <c r="I155" s="374">
        <f t="shared" si="87"/>
        <v>3465758.25</v>
      </c>
      <c r="J155" s="374">
        <f t="shared" si="87"/>
        <v>3465758.25</v>
      </c>
      <c r="K155" s="374">
        <f t="shared" si="87"/>
        <v>3465758.25</v>
      </c>
      <c r="L155" s="381" t="e">
        <f t="shared" si="87"/>
        <v>#REF!</v>
      </c>
      <c r="M155" s="381">
        <f t="shared" si="87"/>
        <v>1119432.25</v>
      </c>
      <c r="N155" s="381">
        <f t="shared" si="87"/>
        <v>1119432.25</v>
      </c>
      <c r="O155" s="382">
        <f t="shared" si="87"/>
        <v>1119432.25</v>
      </c>
      <c r="P155" s="347" t="e">
        <f>P15+P57+P90+P102+P138</f>
        <v>#REF!</v>
      </c>
      <c r="Q155" s="347"/>
      <c r="R155" s="347" t="e">
        <f>R15+R57+R90+R102+R138</f>
        <v>#REF!</v>
      </c>
      <c r="S155" s="347"/>
      <c r="T155" s="363" t="e">
        <f>T15+T57+T90+T102+T138</f>
        <v>#REF!</v>
      </c>
      <c r="U155" s="359"/>
    </row>
    <row r="156" spans="1:23" ht="24.95" customHeight="1" thickBot="1" x14ac:dyDescent="0.25">
      <c r="B156" s="390" t="e">
        <f>SUM(B153:B155)</f>
        <v>#REF!</v>
      </c>
      <c r="C156" s="327">
        <f t="shared" ref="C156:O156" si="88">SUM(C153:C155)</f>
        <v>0</v>
      </c>
      <c r="D156" s="371" t="e">
        <f t="shared" si="88"/>
        <v>#REF!</v>
      </c>
      <c r="E156" s="371">
        <f t="shared" si="88"/>
        <v>15164839.5</v>
      </c>
      <c r="F156" s="371" t="e">
        <f t="shared" si="88"/>
        <v>#REF!</v>
      </c>
      <c r="G156" s="371">
        <f t="shared" si="88"/>
        <v>15164839.5</v>
      </c>
      <c r="H156" s="375" t="e">
        <f t="shared" si="88"/>
        <v>#REF!</v>
      </c>
      <c r="I156" s="375">
        <f t="shared" si="88"/>
        <v>15707621</v>
      </c>
      <c r="J156" s="375">
        <f t="shared" si="88"/>
        <v>15707621</v>
      </c>
      <c r="K156" s="375" t="e">
        <f t="shared" si="88"/>
        <v>#REF!</v>
      </c>
      <c r="L156" s="383" t="e">
        <f t="shared" si="88"/>
        <v>#REF!</v>
      </c>
      <c r="M156" s="383">
        <f t="shared" si="88"/>
        <v>9854479.5</v>
      </c>
      <c r="N156" s="383">
        <f t="shared" si="88"/>
        <v>9854479.5</v>
      </c>
      <c r="O156" s="384" t="e">
        <f t="shared" si="88"/>
        <v>#REF!</v>
      </c>
      <c r="P156" s="364" t="e">
        <f>SUM(P153:P155)</f>
        <v>#REF!</v>
      </c>
      <c r="Q156" s="364"/>
      <c r="R156" s="365" t="e">
        <f>SUM(R153:R155)</f>
        <v>#REF!</v>
      </c>
      <c r="S156" s="364"/>
      <c r="T156" s="365" t="e">
        <f>SUM(T153:T155)</f>
        <v>#REF!</v>
      </c>
      <c r="U156" s="366"/>
      <c r="W156" s="287" t="e">
        <f>P153/4</f>
        <v>#REF!</v>
      </c>
    </row>
    <row r="157" spans="1:23" ht="24.95" customHeight="1" thickTop="1" thickBot="1" x14ac:dyDescent="0.25">
      <c r="B157" s="337"/>
      <c r="C157" s="337"/>
      <c r="D157" s="385"/>
      <c r="E157" s="385"/>
      <c r="F157" s="385"/>
      <c r="G157" s="435" t="e">
        <f>SUM(D156:G156)</f>
        <v>#REF!</v>
      </c>
      <c r="H157" s="419"/>
      <c r="I157" s="419"/>
      <c r="J157" s="419"/>
      <c r="K157" s="420" t="e">
        <f>SUM(H156:K156)</f>
        <v>#REF!</v>
      </c>
      <c r="L157" s="405"/>
      <c r="M157" s="405"/>
      <c r="N157" s="405"/>
      <c r="O157" s="406" t="e">
        <f>SUM(L156:O156)</f>
        <v>#REF!</v>
      </c>
      <c r="P157" s="366"/>
      <c r="Q157" s="366"/>
      <c r="R157" s="366"/>
      <c r="S157" s="366"/>
      <c r="T157" s="366"/>
      <c r="U157" s="366"/>
      <c r="W157" s="287"/>
    </row>
    <row r="158" spans="1:23" s="386" customFormat="1" ht="24.95" customHeight="1" thickTop="1" x14ac:dyDescent="0.2">
      <c r="A158" s="386" t="str">
        <f>A141</f>
        <v>รวมงบประมาณสำนักสนับสนุนให้สำนักงานเขต</v>
      </c>
      <c r="B158" s="391" t="e">
        <f>B16+B103+B127+B139+B53</f>
        <v>#REF!</v>
      </c>
      <c r="C158" s="387"/>
      <c r="D158" s="436" t="e">
        <f t="shared" ref="D158:O158" si="89">D16+D103+D127+D139+D53</f>
        <v>#REF!</v>
      </c>
      <c r="E158" s="436">
        <f t="shared" si="89"/>
        <v>2064842.5</v>
      </c>
      <c r="F158" s="436">
        <f t="shared" si="89"/>
        <v>2064842.5</v>
      </c>
      <c r="G158" s="436">
        <f t="shared" si="89"/>
        <v>2064842.5</v>
      </c>
      <c r="H158" s="421" t="e">
        <f t="shared" si="89"/>
        <v>#REF!</v>
      </c>
      <c r="I158" s="421">
        <f t="shared" si="89"/>
        <v>3729117.5</v>
      </c>
      <c r="J158" s="421">
        <f t="shared" si="89"/>
        <v>3729117.5</v>
      </c>
      <c r="K158" s="421">
        <f t="shared" si="89"/>
        <v>3729117.5</v>
      </c>
      <c r="L158" s="387" t="e">
        <f t="shared" si="89"/>
        <v>#REF!</v>
      </c>
      <c r="M158" s="387">
        <f t="shared" si="89"/>
        <v>927690</v>
      </c>
      <c r="N158" s="387">
        <f t="shared" si="89"/>
        <v>927690</v>
      </c>
      <c r="O158" s="387">
        <f t="shared" si="89"/>
        <v>927690</v>
      </c>
      <c r="P158" s="387"/>
      <c r="Q158" s="387"/>
      <c r="R158" s="387"/>
      <c r="S158" s="387"/>
      <c r="T158" s="387" t="e">
        <f>P156+R156+T156</f>
        <v>#REF!</v>
      </c>
      <c r="U158" s="387"/>
    </row>
    <row r="159" spans="1:23" ht="24.95" customHeight="1" x14ac:dyDescent="0.2">
      <c r="B159" s="287"/>
      <c r="C159" s="287"/>
      <c r="D159" s="437"/>
      <c r="E159" s="437"/>
      <c r="F159" s="437"/>
      <c r="G159" s="432" t="e">
        <f>SUM(D158:G158)</f>
        <v>#REF!</v>
      </c>
      <c r="H159" s="419"/>
      <c r="I159" s="419"/>
      <c r="J159" s="419"/>
      <c r="K159" s="419" t="e">
        <f>SUM(H158:K158)</f>
        <v>#REF!</v>
      </c>
      <c r="L159" s="405"/>
      <c r="M159" s="405"/>
      <c r="N159" s="405"/>
      <c r="O159" s="405" t="e">
        <f>SUM(L158:O158)</f>
        <v>#REF!</v>
      </c>
      <c r="P159" s="359"/>
      <c r="Q159" s="359"/>
      <c r="R159" s="359"/>
      <c r="S159" s="359"/>
      <c r="T159" s="359"/>
      <c r="U159" s="359"/>
    </row>
    <row r="160" spans="1:23" ht="24.95" customHeight="1" thickBot="1" x14ac:dyDescent="0.25">
      <c r="B160" s="394" t="e">
        <f>B156+B158</f>
        <v>#REF!</v>
      </c>
      <c r="C160" s="287"/>
      <c r="D160" s="432"/>
      <c r="E160" s="432"/>
      <c r="F160" s="432"/>
      <c r="G160" s="438" t="e">
        <f>G157+G159</f>
        <v>#REF!</v>
      </c>
      <c r="H160" s="419"/>
      <c r="I160" s="419"/>
      <c r="J160" s="419"/>
      <c r="K160" s="422" t="e">
        <f>K157+K159</f>
        <v>#REF!</v>
      </c>
      <c r="L160" s="405"/>
      <c r="M160" s="405"/>
      <c r="N160" s="405"/>
      <c r="O160" s="407" t="e">
        <f>O157+O159</f>
        <v>#REF!</v>
      </c>
      <c r="P160" s="359" t="e">
        <f>P161-'สงม.1 (แยกฝ่าย)'!C259</f>
        <v>#REF!</v>
      </c>
      <c r="Q160" s="359"/>
      <c r="R160" s="359" t="e">
        <f>R161-'สงม.1 (แยกฝ่าย)'!D259</f>
        <v>#REF!</v>
      </c>
      <c r="S160" s="359"/>
      <c r="T160" s="359" t="e">
        <f>T161-'สงม.1 (แยกฝ่าย)'!E259</f>
        <v>#REF!</v>
      </c>
      <c r="U160" s="359"/>
    </row>
    <row r="161" spans="1:23" ht="24.95" customHeight="1" thickTop="1" thickBot="1" x14ac:dyDescent="0.25">
      <c r="B161" s="287"/>
      <c r="C161" s="287"/>
      <c r="D161" s="432"/>
      <c r="E161" s="432"/>
      <c r="F161" s="432"/>
      <c r="G161" s="388" t="e">
        <f>G160+K160+O160</f>
        <v>#REF!</v>
      </c>
      <c r="H161" s="419"/>
      <c r="I161" s="419"/>
      <c r="J161" s="419"/>
      <c r="K161" s="419"/>
      <c r="L161" s="405"/>
      <c r="M161" s="405"/>
      <c r="N161" s="405"/>
      <c r="O161" s="405"/>
      <c r="P161" s="359" t="e">
        <f t="shared" ref="P161:T161" si="90">P8+P16+P18+P23+P28+P43+P53+P59+P80+P95+P103+P117+P127+P129+P139</f>
        <v>#REF!</v>
      </c>
      <c r="Q161" s="359"/>
      <c r="R161" s="359" t="e">
        <f t="shared" si="90"/>
        <v>#REF!</v>
      </c>
      <c r="S161" s="359"/>
      <c r="T161" s="359" t="e">
        <f t="shared" si="90"/>
        <v>#REF!</v>
      </c>
      <c r="U161" s="359"/>
    </row>
    <row r="162" spans="1:23" ht="24.95" customHeight="1" thickTop="1" x14ac:dyDescent="0.2">
      <c r="B162" s="287" t="e">
        <f>B155+B158</f>
        <v>#REF!</v>
      </c>
      <c r="G162" s="432"/>
      <c r="W162" s="287" t="e">
        <f>P153-W153</f>
        <v>#REF!</v>
      </c>
    </row>
    <row r="163" spans="1:23" ht="24.95" customHeight="1" x14ac:dyDescent="0.2">
      <c r="B163" s="287" t="e">
        <f>B162-63849312</f>
        <v>#REF!</v>
      </c>
      <c r="C163" s="287"/>
      <c r="D163" s="432" t="e">
        <f>D153+E153+F153+G153+H153+I153+D158+E158+F158+G158+H158+I158</f>
        <v>#REF!</v>
      </c>
      <c r="E163" s="432" t="e">
        <f>D153+E153+F153+G153+H153+I153</f>
        <v>#REF!</v>
      </c>
      <c r="F163" s="432"/>
      <c r="G163" s="432"/>
      <c r="H163" s="419"/>
      <c r="I163" s="419"/>
      <c r="J163" s="419"/>
      <c r="K163" s="419"/>
      <c r="L163" s="405"/>
      <c r="M163" s="405"/>
      <c r="N163" s="405"/>
      <c r="O163" s="405"/>
      <c r="T163" s="359" t="e">
        <f>P161+R161+T161</f>
        <v>#REF!</v>
      </c>
      <c r="W163" s="287" t="e">
        <f>W162/4</f>
        <v>#REF!</v>
      </c>
    </row>
    <row r="164" spans="1:23" ht="24.95" customHeight="1" x14ac:dyDescent="0.2">
      <c r="B164" s="442" t="e">
        <f>B163+13504500</f>
        <v>#REF!</v>
      </c>
      <c r="C164" s="287"/>
      <c r="D164" s="432" t="e">
        <f>D154+E154+F154+G154+H154+I154</f>
        <v>#REF!</v>
      </c>
      <c r="E164" s="432" t="e">
        <f>D158+E158+F158+G158+H158+I158</f>
        <v>#REF!</v>
      </c>
      <c r="F164" s="432"/>
      <c r="G164" s="432"/>
      <c r="H164" s="419"/>
      <c r="I164" s="419"/>
      <c r="J164" s="419"/>
      <c r="K164" s="419"/>
      <c r="L164" s="405"/>
      <c r="M164" s="405"/>
      <c r="N164" s="405"/>
      <c r="O164" s="405"/>
      <c r="W164" s="287" t="e">
        <f>W163+W154</f>
        <v>#REF!</v>
      </c>
    </row>
    <row r="165" spans="1:23" ht="24.95" customHeight="1" x14ac:dyDescent="0.2">
      <c r="D165" s="432" t="e">
        <f>D155+E155+F155+G155+H155+I155</f>
        <v>#REF!</v>
      </c>
      <c r="E165" s="432" t="e">
        <f>E163+E164</f>
        <v>#REF!</v>
      </c>
    </row>
    <row r="166" spans="1:23" ht="24.95" customHeight="1" x14ac:dyDescent="0.25">
      <c r="A166" s="122"/>
      <c r="B166" s="316" t="e">
        <f>B8+B18+B23+B28+B43+B59+B80+B95+B117+B129</f>
        <v>#REF!</v>
      </c>
      <c r="C166" s="316"/>
      <c r="D166" s="439"/>
      <c r="E166" s="439"/>
      <c r="F166" s="439"/>
      <c r="G166" s="439"/>
      <c r="H166" s="423"/>
      <c r="I166" s="423"/>
      <c r="J166" s="423"/>
      <c r="K166" s="423"/>
      <c r="L166" s="408"/>
      <c r="M166" s="408"/>
      <c r="N166" s="408"/>
      <c r="O166" s="408"/>
      <c r="P166" s="367" t="e">
        <f>P8+P18+P23+P28+P43+P59+P80+P95+P117+P129</f>
        <v>#REF!</v>
      </c>
      <c r="Q166" s="367"/>
      <c r="R166" s="367" t="e">
        <f>R8+R18+R23+R28+R43+R59+R80+R95+R117+R129</f>
        <v>#REF!</v>
      </c>
      <c r="S166" s="367"/>
      <c r="T166" s="367" t="e">
        <f>T8+T18+T23+T28+T43+T59+T80+T95+T117+T129</f>
        <v>#REF!</v>
      </c>
      <c r="U166" s="367"/>
    </row>
    <row r="167" spans="1:23" x14ac:dyDescent="0.2">
      <c r="B167" s="287" t="e">
        <f>B16+B53+B103+B127+B139</f>
        <v>#REF!</v>
      </c>
      <c r="C167" s="287"/>
      <c r="D167" s="432"/>
      <c r="E167" s="432"/>
      <c r="F167" s="432"/>
      <c r="G167" s="432"/>
      <c r="H167" s="419"/>
      <c r="I167" s="419"/>
      <c r="J167" s="419"/>
      <c r="K167" s="419"/>
      <c r="L167" s="405"/>
      <c r="M167" s="405"/>
      <c r="N167" s="405"/>
      <c r="O167" s="405"/>
      <c r="P167" s="359" t="e">
        <f>P16+P53+P103+P127+P139</f>
        <v>#REF!</v>
      </c>
      <c r="Q167" s="359"/>
      <c r="R167" s="359" t="e">
        <f>R16+R53+R103+R127+R139</f>
        <v>#REF!</v>
      </c>
      <c r="S167" s="359"/>
      <c r="T167" s="359" t="e">
        <f>T16+T53+T103+T127+T139</f>
        <v>#REF!</v>
      </c>
      <c r="U167" s="359"/>
    </row>
    <row r="168" spans="1:23" x14ac:dyDescent="0.2">
      <c r="B168" s="287" t="e">
        <f>B167-B141</f>
        <v>#REF!</v>
      </c>
      <c r="C168" s="287"/>
      <c r="D168" s="432"/>
      <c r="E168" s="432"/>
      <c r="F168" s="432"/>
      <c r="G168" s="432"/>
      <c r="H168" s="419"/>
      <c r="I168" s="419"/>
      <c r="J168" s="419"/>
      <c r="K168" s="419"/>
      <c r="L168" s="405"/>
      <c r="M168" s="405"/>
      <c r="N168" s="405"/>
      <c r="O168" s="405"/>
      <c r="P168" s="359" t="e">
        <f t="shared" ref="P168:T168" si="91">P167-P141</f>
        <v>#REF!</v>
      </c>
      <c r="Q168" s="359"/>
      <c r="R168" s="359" t="e">
        <f t="shared" si="91"/>
        <v>#REF!</v>
      </c>
      <c r="S168" s="359"/>
      <c r="T168" s="359" t="e">
        <f t="shared" si="91"/>
        <v>#REF!</v>
      </c>
      <c r="U168" s="359"/>
    </row>
    <row r="169" spans="1:23" x14ac:dyDescent="0.2">
      <c r="B169" s="287" t="e">
        <f>B140+B141</f>
        <v>#REF!</v>
      </c>
      <c r="C169" s="287"/>
      <c r="D169" s="432"/>
      <c r="E169" s="432"/>
      <c r="F169" s="432"/>
      <c r="G169" s="432"/>
      <c r="H169" s="419"/>
      <c r="I169" s="419"/>
      <c r="J169" s="419"/>
      <c r="K169" s="419"/>
      <c r="L169" s="405"/>
      <c r="M169" s="405"/>
      <c r="N169" s="405"/>
      <c r="O169" s="405"/>
      <c r="P169" s="359" t="e">
        <f t="shared" ref="P169:T169" si="92">P140+P141</f>
        <v>#REF!</v>
      </c>
      <c r="Q169" s="359"/>
      <c r="R169" s="359" t="e">
        <f t="shared" si="92"/>
        <v>#REF!</v>
      </c>
      <c r="S169" s="359"/>
      <c r="T169" s="359" t="e">
        <f t="shared" si="92"/>
        <v>#REF!</v>
      </c>
      <c r="U169" s="359"/>
    </row>
    <row r="170" spans="1:23" x14ac:dyDescent="0.2">
      <c r="B170" s="287" t="e">
        <f>B169-B142</f>
        <v>#REF!</v>
      </c>
      <c r="C170" s="287"/>
      <c r="D170" s="432"/>
      <c r="E170" s="432"/>
      <c r="F170" s="432"/>
      <c r="G170" s="432"/>
      <c r="H170" s="419"/>
      <c r="I170" s="419"/>
      <c r="J170" s="419"/>
      <c r="K170" s="419"/>
      <c r="L170" s="405"/>
      <c r="M170" s="405"/>
      <c r="N170" s="405"/>
      <c r="O170" s="405"/>
      <c r="P170" s="359" t="e">
        <f t="shared" ref="P170:T170" si="93">P169-P142</f>
        <v>#REF!</v>
      </c>
      <c r="Q170" s="359"/>
      <c r="R170" s="359" t="e">
        <f t="shared" si="93"/>
        <v>#REF!</v>
      </c>
      <c r="S170" s="359"/>
      <c r="T170" s="359" t="e">
        <f t="shared" si="93"/>
        <v>#REF!</v>
      </c>
      <c r="U170" s="359"/>
    </row>
    <row r="171" spans="1:23" x14ac:dyDescent="0.2">
      <c r="B171" s="287"/>
      <c r="C171" s="287"/>
      <c r="D171" s="432"/>
      <c r="E171" s="432"/>
      <c r="F171" s="432"/>
      <c r="G171" s="432"/>
      <c r="H171" s="419"/>
      <c r="I171" s="419"/>
      <c r="J171" s="419"/>
      <c r="K171" s="419"/>
      <c r="L171" s="405"/>
      <c r="M171" s="405"/>
      <c r="N171" s="405"/>
      <c r="O171" s="405"/>
      <c r="T171" s="359" t="e">
        <f>P169+R169+T169</f>
        <v>#REF!</v>
      </c>
    </row>
  </sheetData>
  <mergeCells count="6">
    <mergeCell ref="A114:A115"/>
    <mergeCell ref="A1:T1"/>
    <mergeCell ref="A2:T2"/>
    <mergeCell ref="A5:A6"/>
    <mergeCell ref="A40:A41"/>
    <mergeCell ref="A77:A78"/>
  </mergeCells>
  <pageMargins left="0.27559055118110237" right="0.27559055118110237" top="0.59055118110236227" bottom="0.39370078740157483" header="0.31496062992125984" footer="0.31496062992125984"/>
  <pageSetup paperSize="9" scale="83" orientation="landscape" horizontalDpi="4294967295" verticalDpi="4294967295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50"/>
  </sheetPr>
  <dimension ref="A1:I130"/>
  <sheetViews>
    <sheetView topLeftCell="A114" workbookViewId="0">
      <selection activeCell="A126" sqref="A126"/>
    </sheetView>
  </sheetViews>
  <sheetFormatPr defaultColWidth="9" defaultRowHeight="24" x14ac:dyDescent="0.55000000000000004"/>
  <cols>
    <col min="1" max="1" width="80.625" style="122" customWidth="1"/>
    <col min="2" max="2" width="8.125" style="122" customWidth="1"/>
    <col min="3" max="3" width="22.625" style="220" customWidth="1"/>
    <col min="4" max="6" width="22.625" style="122" customWidth="1"/>
    <col min="7" max="7" width="2.75" style="122" customWidth="1"/>
    <col min="8" max="8" width="13.375" style="589" customWidth="1"/>
    <col min="9" max="9" width="12.75" style="12" customWidth="1"/>
    <col min="10" max="18" width="39.375" style="122" customWidth="1"/>
    <col min="19" max="16384" width="9" style="122"/>
  </cols>
  <sheetData>
    <row r="1" spans="1:9" x14ac:dyDescent="0.55000000000000004">
      <c r="A1" s="672" t="s">
        <v>411</v>
      </c>
      <c r="B1" s="672"/>
      <c r="C1" s="672"/>
      <c r="D1" s="672"/>
      <c r="E1" s="672"/>
      <c r="F1" s="672"/>
      <c r="G1" s="240"/>
    </row>
    <row r="2" spans="1:9" x14ac:dyDescent="0.55000000000000004">
      <c r="A2" s="188" t="s">
        <v>55</v>
      </c>
      <c r="B2" s="188"/>
      <c r="C2" s="189"/>
      <c r="D2" s="188"/>
      <c r="E2" s="188"/>
      <c r="F2" s="188"/>
      <c r="G2" s="188"/>
    </row>
    <row r="3" spans="1:9" ht="20.25" customHeight="1" x14ac:dyDescent="0.55000000000000004">
      <c r="A3" s="190" t="s">
        <v>185</v>
      </c>
      <c r="B3" s="190"/>
      <c r="C3" s="191"/>
      <c r="E3" s="192"/>
      <c r="F3" s="192" t="s">
        <v>28</v>
      </c>
      <c r="G3" s="192"/>
    </row>
    <row r="4" spans="1:9" ht="5.25" customHeight="1" x14ac:dyDescent="0.55000000000000004">
      <c r="A4" s="190"/>
      <c r="B4" s="190"/>
      <c r="C4" s="191"/>
      <c r="D4" s="192"/>
      <c r="E4" s="192"/>
      <c r="F4" s="192"/>
      <c r="G4" s="192"/>
    </row>
    <row r="5" spans="1:9" ht="21" customHeight="1" x14ac:dyDescent="0.5">
      <c r="A5" s="675" t="s">
        <v>13</v>
      </c>
      <c r="B5" s="193" t="s">
        <v>5</v>
      </c>
      <c r="C5" s="677" t="s">
        <v>1</v>
      </c>
      <c r="D5" s="679" t="s">
        <v>414</v>
      </c>
      <c r="E5" s="679" t="s">
        <v>415</v>
      </c>
      <c r="F5" s="679" t="s">
        <v>416</v>
      </c>
      <c r="G5" s="526"/>
      <c r="H5" s="612" t="s">
        <v>255</v>
      </c>
      <c r="I5" s="613" t="s">
        <v>381</v>
      </c>
    </row>
    <row r="6" spans="1:9" ht="21" customHeight="1" x14ac:dyDescent="0.2">
      <c r="A6" s="676"/>
      <c r="B6" s="194" t="s">
        <v>3</v>
      </c>
      <c r="C6" s="678"/>
      <c r="D6" s="671"/>
      <c r="E6" s="671"/>
      <c r="F6" s="671"/>
      <c r="G6" s="526"/>
      <c r="H6" s="614"/>
      <c r="I6" s="298"/>
    </row>
    <row r="7" spans="1:9" ht="22.5" customHeight="1" x14ac:dyDescent="0.55000000000000004">
      <c r="A7" s="199" t="s">
        <v>194</v>
      </c>
      <c r="B7" s="540" t="s">
        <v>2</v>
      </c>
      <c r="C7" s="541">
        <f>SUM(D7:F7)</f>
        <v>12077900</v>
      </c>
      <c r="D7" s="541">
        <f>D9</f>
        <v>3855700</v>
      </c>
      <c r="E7" s="541">
        <f>E9</f>
        <v>6317000</v>
      </c>
      <c r="F7" s="201">
        <f>F9</f>
        <v>1905200</v>
      </c>
      <c r="G7" s="526"/>
    </row>
    <row r="8" spans="1:9" ht="22.5" customHeight="1" x14ac:dyDescent="0.55000000000000004">
      <c r="A8" s="203"/>
      <c r="B8" s="537" t="s">
        <v>3</v>
      </c>
      <c r="C8" s="538"/>
      <c r="D8" s="538"/>
      <c r="E8" s="538"/>
      <c r="F8" s="493"/>
      <c r="G8" s="526"/>
    </row>
    <row r="9" spans="1:9" ht="23.1" customHeight="1" x14ac:dyDescent="0.55000000000000004">
      <c r="A9" s="199" t="s">
        <v>348</v>
      </c>
      <c r="B9" s="200" t="s">
        <v>2</v>
      </c>
      <c r="C9" s="201">
        <f>SUM(D9:F9)</f>
        <v>12077900</v>
      </c>
      <c r="D9" s="201">
        <f>D11</f>
        <v>3855700</v>
      </c>
      <c r="E9" s="201">
        <f t="shared" ref="E9:F9" si="0">E11</f>
        <v>6317000</v>
      </c>
      <c r="F9" s="201">
        <f t="shared" si="0"/>
        <v>1905200</v>
      </c>
      <c r="G9" s="526"/>
      <c r="H9" s="589">
        <f>F9-12077900</f>
        <v>-10172700</v>
      </c>
    </row>
    <row r="10" spans="1:9" ht="23.1" customHeight="1" x14ac:dyDescent="0.55000000000000004">
      <c r="A10" s="230"/>
      <c r="B10" s="200" t="s">
        <v>3</v>
      </c>
      <c r="C10" s="201"/>
      <c r="D10" s="224"/>
      <c r="E10" s="224"/>
      <c r="F10" s="224"/>
      <c r="G10" s="526"/>
    </row>
    <row r="11" spans="1:9" ht="23.1" customHeight="1" x14ac:dyDescent="0.55000000000000004">
      <c r="A11" s="204" t="s">
        <v>338</v>
      </c>
      <c r="B11" s="525" t="s">
        <v>2</v>
      </c>
      <c r="C11" s="248">
        <f>SUM(D11:F11)</f>
        <v>12077900</v>
      </c>
      <c r="D11" s="248">
        <f>SUM(D15:D22)</f>
        <v>3855700</v>
      </c>
      <c r="E11" s="248">
        <f>SUM(E15:E22)</f>
        <v>6317000</v>
      </c>
      <c r="F11" s="248">
        <f>SUM(F15:F22)</f>
        <v>1905200</v>
      </c>
      <c r="G11" s="526"/>
    </row>
    <row r="12" spans="1:9" ht="23.1" customHeight="1" x14ac:dyDescent="0.55000000000000004">
      <c r="A12" s="205"/>
      <c r="B12" s="524" t="s">
        <v>3</v>
      </c>
      <c r="C12" s="243"/>
      <c r="D12" s="243"/>
      <c r="E12" s="243"/>
      <c r="F12" s="243"/>
      <c r="G12" s="480"/>
    </row>
    <row r="13" spans="1:9" ht="23.1" customHeight="1" x14ac:dyDescent="0.55000000000000004">
      <c r="A13" s="206" t="s">
        <v>38</v>
      </c>
      <c r="B13" s="241"/>
      <c r="C13" s="243"/>
      <c r="D13" s="247"/>
      <c r="E13" s="247"/>
      <c r="F13" s="247"/>
      <c r="G13" s="253"/>
    </row>
    <row r="14" spans="1:9" ht="23.1" customHeight="1" x14ac:dyDescent="0.55000000000000004">
      <c r="A14" s="207" t="s">
        <v>9</v>
      </c>
      <c r="B14" s="241"/>
      <c r="C14" s="243"/>
      <c r="D14" s="247"/>
      <c r="E14" s="247"/>
      <c r="F14" s="247"/>
      <c r="G14" s="253"/>
    </row>
    <row r="15" spans="1:9" ht="23.1" customHeight="1" x14ac:dyDescent="0.55000000000000004">
      <c r="A15" s="208" t="s">
        <v>262</v>
      </c>
      <c r="B15" s="241" t="s">
        <v>2</v>
      </c>
      <c r="C15" s="243">
        <f t="shared" ref="C15" si="1">SUM(D15:F15)</f>
        <v>11218200</v>
      </c>
      <c r="D15" s="244">
        <v>3163000</v>
      </c>
      <c r="E15" s="244">
        <v>6150000</v>
      </c>
      <c r="F15" s="244">
        <v>1905200</v>
      </c>
      <c r="G15" s="235"/>
      <c r="H15" s="589">
        <v>11218200</v>
      </c>
      <c r="I15" s="615">
        <f t="shared" ref="I15:I43" si="2">H15-C15</f>
        <v>0</v>
      </c>
    </row>
    <row r="16" spans="1:9" ht="23.1" customHeight="1" x14ac:dyDescent="0.55000000000000004">
      <c r="A16" s="207" t="s">
        <v>10</v>
      </c>
      <c r="B16" s="241"/>
      <c r="C16" s="243"/>
      <c r="D16" s="247"/>
      <c r="E16" s="247"/>
      <c r="F16" s="247"/>
      <c r="G16" s="253"/>
      <c r="I16" s="615">
        <f t="shared" si="2"/>
        <v>0</v>
      </c>
    </row>
    <row r="17" spans="1:9" ht="23.1" customHeight="1" x14ac:dyDescent="0.55000000000000004">
      <c r="A17" s="208" t="s">
        <v>264</v>
      </c>
      <c r="B17" s="241" t="s">
        <v>2</v>
      </c>
      <c r="C17" s="243">
        <f t="shared" ref="C17" si="3">SUM(D17:F17)</f>
        <v>22000</v>
      </c>
      <c r="D17" s="244"/>
      <c r="E17" s="244">
        <v>22000</v>
      </c>
      <c r="F17" s="244"/>
      <c r="G17" s="235"/>
      <c r="H17" s="589">
        <v>22000</v>
      </c>
      <c r="I17" s="615">
        <f t="shared" si="2"/>
        <v>0</v>
      </c>
    </row>
    <row r="18" spans="1:9" ht="23.1" customHeight="1" x14ac:dyDescent="0.55000000000000004">
      <c r="A18" s="207" t="s">
        <v>11</v>
      </c>
      <c r="B18" s="241"/>
      <c r="C18" s="243"/>
      <c r="D18" s="242"/>
      <c r="E18" s="242"/>
      <c r="F18" s="242"/>
      <c r="G18" s="532"/>
      <c r="I18" s="615">
        <f t="shared" si="2"/>
        <v>0</v>
      </c>
    </row>
    <row r="19" spans="1:9" ht="23.1" customHeight="1" x14ac:dyDescent="0.55000000000000004">
      <c r="A19" s="208" t="s">
        <v>436</v>
      </c>
      <c r="B19" s="241" t="s">
        <v>2</v>
      </c>
      <c r="C19" s="243">
        <f>SUM(D19:F19)</f>
        <v>120000</v>
      </c>
      <c r="D19" s="244"/>
      <c r="E19" s="244">
        <v>120000</v>
      </c>
      <c r="F19" s="244"/>
      <c r="G19" s="235"/>
      <c r="H19" s="589">
        <v>120000</v>
      </c>
      <c r="I19" s="615">
        <f t="shared" si="2"/>
        <v>0</v>
      </c>
    </row>
    <row r="20" spans="1:9" ht="23.1" customHeight="1" x14ac:dyDescent="0.55000000000000004">
      <c r="A20" s="208" t="s">
        <v>267</v>
      </c>
      <c r="B20" s="241" t="s">
        <v>2</v>
      </c>
      <c r="C20" s="243">
        <f t="shared" ref="C20:C22" si="4">SUM(D20:F20)</f>
        <v>25000</v>
      </c>
      <c r="D20" s="244"/>
      <c r="E20" s="244">
        <v>25000</v>
      </c>
      <c r="F20" s="244"/>
      <c r="G20" s="235"/>
      <c r="H20" s="589">
        <v>25000</v>
      </c>
      <c r="I20" s="615">
        <f t="shared" si="2"/>
        <v>0</v>
      </c>
    </row>
    <row r="21" spans="1:9" ht="23.1" customHeight="1" x14ac:dyDescent="0.55000000000000004">
      <c r="A21" s="208" t="s">
        <v>269</v>
      </c>
      <c r="B21" s="241" t="s">
        <v>2</v>
      </c>
      <c r="C21" s="243">
        <f t="shared" si="4"/>
        <v>147400</v>
      </c>
      <c r="D21" s="244">
        <v>147400</v>
      </c>
      <c r="E21" s="244"/>
      <c r="F21" s="244"/>
      <c r="G21" s="235"/>
      <c r="H21" s="589">
        <v>147400</v>
      </c>
      <c r="I21" s="615">
        <f t="shared" si="2"/>
        <v>0</v>
      </c>
    </row>
    <row r="22" spans="1:9" ht="23.1" customHeight="1" x14ac:dyDescent="0.55000000000000004">
      <c r="A22" s="223" t="s">
        <v>275</v>
      </c>
      <c r="B22" s="236" t="s">
        <v>2</v>
      </c>
      <c r="C22" s="237">
        <f t="shared" si="4"/>
        <v>545300</v>
      </c>
      <c r="D22" s="232">
        <v>545300</v>
      </c>
      <c r="E22" s="232"/>
      <c r="F22" s="232"/>
      <c r="G22" s="235"/>
      <c r="H22" s="589">
        <v>545300</v>
      </c>
      <c r="I22" s="615">
        <f t="shared" si="2"/>
        <v>0</v>
      </c>
    </row>
    <row r="23" spans="1:9" ht="23.1" customHeight="1" x14ac:dyDescent="0.55000000000000004">
      <c r="A23" s="468" t="s">
        <v>365</v>
      </c>
      <c r="B23" s="196" t="s">
        <v>2</v>
      </c>
      <c r="C23" s="197">
        <f>SUM(D23:F23)</f>
        <v>12077900</v>
      </c>
      <c r="D23" s="197">
        <f>D7</f>
        <v>3855700</v>
      </c>
      <c r="E23" s="197">
        <f>E7</f>
        <v>6317000</v>
      </c>
      <c r="F23" s="214">
        <f>F7</f>
        <v>1905200</v>
      </c>
      <c r="G23" s="235"/>
      <c r="I23" s="615"/>
    </row>
    <row r="24" spans="1:9" ht="23.1" customHeight="1" x14ac:dyDescent="0.55000000000000004">
      <c r="A24" s="495"/>
      <c r="B24" s="196" t="s">
        <v>3</v>
      </c>
      <c r="C24" s="197"/>
      <c r="D24" s="197"/>
      <c r="E24" s="197"/>
      <c r="F24" s="214"/>
      <c r="G24" s="235"/>
      <c r="I24" s="615">
        <f t="shared" si="2"/>
        <v>0</v>
      </c>
    </row>
    <row r="25" spans="1:9" ht="23.1" customHeight="1" x14ac:dyDescent="0.55000000000000004">
      <c r="A25" s="195" t="s">
        <v>366</v>
      </c>
      <c r="B25" s="196" t="s">
        <v>2</v>
      </c>
      <c r="C25" s="266">
        <f>SUM(D25:F25)</f>
        <v>0</v>
      </c>
      <c r="D25" s="266">
        <v>0</v>
      </c>
      <c r="E25" s="266">
        <v>0</v>
      </c>
      <c r="F25" s="226">
        <v>0</v>
      </c>
      <c r="G25" s="235"/>
      <c r="I25" s="615">
        <f t="shared" si="2"/>
        <v>0</v>
      </c>
    </row>
    <row r="26" spans="1:9" ht="23.1" customHeight="1" x14ac:dyDescent="0.55000000000000004">
      <c r="A26" s="495"/>
      <c r="B26" s="196" t="s">
        <v>3</v>
      </c>
      <c r="C26" s="197"/>
      <c r="D26" s="197"/>
      <c r="E26" s="197"/>
      <c r="F26" s="214"/>
      <c r="G26" s="235"/>
      <c r="I26" s="615">
        <f t="shared" si="2"/>
        <v>0</v>
      </c>
    </row>
    <row r="27" spans="1:9" ht="23.1" customHeight="1" x14ac:dyDescent="0.55000000000000004">
      <c r="A27" s="673" t="s">
        <v>1</v>
      </c>
      <c r="B27" s="225" t="s">
        <v>2</v>
      </c>
      <c r="C27" s="226">
        <f>SUM(D27:F27)</f>
        <v>12077900</v>
      </c>
      <c r="D27" s="226">
        <f>D25+D23</f>
        <v>3855700</v>
      </c>
      <c r="E27" s="226">
        <f t="shared" ref="E27:F27" si="5">E25+E23</f>
        <v>6317000</v>
      </c>
      <c r="F27" s="226">
        <f t="shared" si="5"/>
        <v>1905200</v>
      </c>
      <c r="G27" s="235"/>
      <c r="I27" s="615"/>
    </row>
    <row r="28" spans="1:9" ht="22.5" customHeight="1" x14ac:dyDescent="0.55000000000000004">
      <c r="A28" s="674"/>
      <c r="B28" s="225" t="s">
        <v>3</v>
      </c>
      <c r="C28" s="226"/>
      <c r="D28" s="227"/>
      <c r="E28" s="227"/>
      <c r="F28" s="227"/>
      <c r="G28" s="235"/>
      <c r="I28" s="615"/>
    </row>
    <row r="29" spans="1:9" ht="22.5" customHeight="1" x14ac:dyDescent="0.55000000000000004">
      <c r="A29" s="190" t="s">
        <v>329</v>
      </c>
      <c r="B29" s="589"/>
      <c r="C29" s="589">
        <f>C27-C7</f>
        <v>0</v>
      </c>
      <c r="D29" s="589">
        <f>D27-D7</f>
        <v>0</v>
      </c>
      <c r="E29" s="589">
        <f>E27-E7</f>
        <v>0</v>
      </c>
      <c r="F29" s="589">
        <f>F27-F7</f>
        <v>0</v>
      </c>
      <c r="G29" s="589"/>
      <c r="I29" s="615"/>
    </row>
    <row r="30" spans="1:9" ht="22.5" customHeight="1" x14ac:dyDescent="0.55000000000000004">
      <c r="A30" s="190"/>
      <c r="B30" s="589"/>
      <c r="C30" s="589"/>
      <c r="D30" s="589"/>
      <c r="E30" s="589"/>
      <c r="F30" s="589"/>
      <c r="G30" s="589"/>
      <c r="I30" s="615"/>
    </row>
    <row r="31" spans="1:9" ht="22.5" customHeight="1" x14ac:dyDescent="0.55000000000000004">
      <c r="A31" s="190"/>
      <c r="B31" s="589"/>
      <c r="C31" s="589"/>
      <c r="D31" s="589"/>
      <c r="E31" s="589"/>
      <c r="F31" s="589"/>
      <c r="G31" s="589"/>
      <c r="I31" s="615"/>
    </row>
    <row r="32" spans="1:9" ht="22.5" customHeight="1" x14ac:dyDescent="0.55000000000000004">
      <c r="A32" s="190"/>
      <c r="B32" s="589"/>
      <c r="C32" s="589"/>
      <c r="D32" s="589"/>
      <c r="E32" s="589"/>
      <c r="F32" s="589"/>
      <c r="G32" s="589"/>
      <c r="I32" s="615"/>
    </row>
    <row r="33" spans="1:9" ht="22.5" customHeight="1" x14ac:dyDescent="0.55000000000000004">
      <c r="A33" s="190"/>
      <c r="B33" s="589"/>
      <c r="C33" s="589"/>
      <c r="D33" s="589"/>
      <c r="E33" s="589"/>
      <c r="F33" s="589"/>
      <c r="G33" s="589"/>
      <c r="I33" s="615"/>
    </row>
    <row r="34" spans="1:9" ht="22.5" customHeight="1" x14ac:dyDescent="0.55000000000000004">
      <c r="A34" s="190"/>
      <c r="B34" s="589"/>
      <c r="C34" s="589"/>
      <c r="D34" s="589"/>
      <c r="E34" s="589"/>
      <c r="F34" s="589"/>
      <c r="G34" s="589"/>
      <c r="I34" s="615"/>
    </row>
    <row r="35" spans="1:9" ht="23.1" customHeight="1" x14ac:dyDescent="0.55000000000000004">
      <c r="A35" s="199" t="s">
        <v>194</v>
      </c>
      <c r="B35" s="540" t="s">
        <v>2</v>
      </c>
      <c r="C35" s="541">
        <f>SUM(D35:F35)</f>
        <v>466500</v>
      </c>
      <c r="D35" s="541">
        <f>D37</f>
        <v>314500</v>
      </c>
      <c r="E35" s="541">
        <f t="shared" ref="E35:F35" si="6">E37</f>
        <v>152000</v>
      </c>
      <c r="F35" s="201">
        <f t="shared" si="6"/>
        <v>0</v>
      </c>
      <c r="G35" s="235"/>
      <c r="I35" s="615"/>
    </row>
    <row r="36" spans="1:9" ht="23.1" customHeight="1" x14ac:dyDescent="0.55000000000000004">
      <c r="A36" s="203"/>
      <c r="B36" s="537" t="s">
        <v>3</v>
      </c>
      <c r="C36" s="538"/>
      <c r="D36" s="539"/>
      <c r="E36" s="539"/>
      <c r="F36" s="539"/>
      <c r="G36" s="235"/>
      <c r="I36" s="615"/>
    </row>
    <row r="37" spans="1:9" ht="23.1" customHeight="1" x14ac:dyDescent="0.55000000000000004">
      <c r="A37" s="199" t="s">
        <v>382</v>
      </c>
      <c r="B37" s="200" t="s">
        <v>2</v>
      </c>
      <c r="C37" s="201">
        <f>SUM(D37:F37)</f>
        <v>466500</v>
      </c>
      <c r="D37" s="201">
        <f>D39</f>
        <v>314500</v>
      </c>
      <c r="E37" s="201">
        <f t="shared" ref="E37:F37" si="7">E39</f>
        <v>152000</v>
      </c>
      <c r="F37" s="201">
        <f t="shared" si="7"/>
        <v>0</v>
      </c>
      <c r="G37" s="235"/>
      <c r="H37" s="589">
        <f>F37-466500</f>
        <v>-466500</v>
      </c>
      <c r="I37" s="615"/>
    </row>
    <row r="38" spans="1:9" ht="23.1" customHeight="1" x14ac:dyDescent="0.55000000000000004">
      <c r="A38" s="230"/>
      <c r="B38" s="200" t="s">
        <v>3</v>
      </c>
      <c r="C38" s="201"/>
      <c r="D38" s="224"/>
      <c r="E38" s="224"/>
      <c r="F38" s="224"/>
      <c r="G38" s="235"/>
      <c r="I38" s="615"/>
    </row>
    <row r="39" spans="1:9" ht="24" customHeight="1" x14ac:dyDescent="0.55000000000000004">
      <c r="A39" s="205" t="s">
        <v>338</v>
      </c>
      <c r="B39" s="566" t="s">
        <v>2</v>
      </c>
      <c r="C39" s="259">
        <f>SUM(D39:F39)</f>
        <v>466500</v>
      </c>
      <c r="D39" s="248">
        <f>SUM(D42:D45)</f>
        <v>314500</v>
      </c>
      <c r="E39" s="248">
        <f>SUM(E42:E45)</f>
        <v>152000</v>
      </c>
      <c r="F39" s="248">
        <f>SUM(F42:F45)</f>
        <v>0</v>
      </c>
      <c r="G39" s="235"/>
      <c r="I39" s="615"/>
    </row>
    <row r="40" spans="1:9" ht="24" customHeight="1" x14ac:dyDescent="0.55000000000000004">
      <c r="A40" s="205"/>
      <c r="B40" s="524" t="s">
        <v>3</v>
      </c>
      <c r="C40" s="243"/>
      <c r="D40" s="243"/>
      <c r="E40" s="243"/>
      <c r="F40" s="243"/>
      <c r="G40" s="235"/>
      <c r="I40" s="615">
        <f t="shared" si="2"/>
        <v>0</v>
      </c>
    </row>
    <row r="41" spans="1:9" ht="24" customHeight="1" x14ac:dyDescent="0.55000000000000004">
      <c r="A41" s="206" t="s">
        <v>38</v>
      </c>
      <c r="B41" s="241"/>
      <c r="C41" s="243"/>
      <c r="D41" s="247"/>
      <c r="E41" s="247"/>
      <c r="F41" s="247"/>
      <c r="G41" s="235"/>
      <c r="I41" s="615">
        <f t="shared" si="2"/>
        <v>0</v>
      </c>
    </row>
    <row r="42" spans="1:9" ht="24" customHeight="1" x14ac:dyDescent="0.55000000000000004">
      <c r="A42" s="207" t="s">
        <v>11</v>
      </c>
      <c r="B42" s="241"/>
      <c r="C42" s="243"/>
      <c r="D42" s="242"/>
      <c r="E42" s="242"/>
      <c r="F42" s="242"/>
      <c r="G42" s="235"/>
      <c r="I42" s="615">
        <f t="shared" si="2"/>
        <v>0</v>
      </c>
    </row>
    <row r="43" spans="1:9" ht="24" hidden="1" customHeight="1" x14ac:dyDescent="0.55000000000000004">
      <c r="A43" s="208" t="s">
        <v>266</v>
      </c>
      <c r="B43" s="241" t="s">
        <v>2</v>
      </c>
      <c r="C43" s="251">
        <f t="shared" ref="C43:C45" si="8">SUM(D43:F43)</f>
        <v>0</v>
      </c>
      <c r="D43" s="244"/>
      <c r="E43" s="244"/>
      <c r="F43" s="244"/>
      <c r="G43" s="235"/>
      <c r="I43" s="615">
        <f t="shared" si="2"/>
        <v>0</v>
      </c>
    </row>
    <row r="44" spans="1:9" ht="24" customHeight="1" x14ac:dyDescent="0.55000000000000004">
      <c r="A44" s="208" t="s">
        <v>418</v>
      </c>
      <c r="B44" s="241" t="s">
        <v>2</v>
      </c>
      <c r="C44" s="243">
        <f t="shared" si="8"/>
        <v>252000</v>
      </c>
      <c r="D44" s="515">
        <v>100000</v>
      </c>
      <c r="E44" s="515">
        <v>152000</v>
      </c>
      <c r="F44" s="515"/>
      <c r="G44" s="235"/>
      <c r="H44" s="589">
        <v>252000</v>
      </c>
      <c r="I44" s="615"/>
    </row>
    <row r="45" spans="1:9" ht="24" customHeight="1" x14ac:dyDescent="0.55000000000000004">
      <c r="A45" s="208" t="s">
        <v>273</v>
      </c>
      <c r="B45" s="449" t="s">
        <v>2</v>
      </c>
      <c r="C45" s="212">
        <f t="shared" si="8"/>
        <v>214500</v>
      </c>
      <c r="D45" s="452">
        <v>214500</v>
      </c>
      <c r="E45" s="452"/>
      <c r="F45" s="452"/>
      <c r="G45" s="235"/>
      <c r="H45" s="589">
        <v>214500</v>
      </c>
      <c r="I45" s="615">
        <f t="shared" ref="I45:I70" si="9">H45-C45</f>
        <v>0</v>
      </c>
    </row>
    <row r="46" spans="1:9" ht="23.1" customHeight="1" x14ac:dyDescent="0.55000000000000004">
      <c r="A46" s="468" t="s">
        <v>365</v>
      </c>
      <c r="B46" s="196" t="s">
        <v>2</v>
      </c>
      <c r="C46" s="197">
        <f>SUM(D46:F46)</f>
        <v>466500</v>
      </c>
      <c r="D46" s="197">
        <f>D39</f>
        <v>314500</v>
      </c>
      <c r="E46" s="197">
        <f t="shared" ref="E46:F46" si="10">E39</f>
        <v>152000</v>
      </c>
      <c r="F46" s="226">
        <f t="shared" si="10"/>
        <v>0</v>
      </c>
      <c r="G46" s="235"/>
      <c r="I46" s="615"/>
    </row>
    <row r="47" spans="1:9" ht="23.1" customHeight="1" x14ac:dyDescent="0.55000000000000004">
      <c r="A47" s="495"/>
      <c r="B47" s="196" t="s">
        <v>3</v>
      </c>
      <c r="C47" s="197"/>
      <c r="D47" s="197"/>
      <c r="E47" s="197"/>
      <c r="F47" s="214"/>
      <c r="G47" s="235"/>
      <c r="I47" s="615">
        <f t="shared" si="9"/>
        <v>0</v>
      </c>
    </row>
    <row r="48" spans="1:9" ht="23.1" customHeight="1" x14ac:dyDescent="0.55000000000000004">
      <c r="A48" s="195" t="s">
        <v>366</v>
      </c>
      <c r="B48" s="196" t="s">
        <v>2</v>
      </c>
      <c r="C48" s="266">
        <f>SUM(D48:F48)</f>
        <v>0</v>
      </c>
      <c r="D48" s="266">
        <v>0</v>
      </c>
      <c r="E48" s="266">
        <v>0</v>
      </c>
      <c r="F48" s="226">
        <v>0</v>
      </c>
      <c r="G48" s="235"/>
      <c r="I48" s="615">
        <f t="shared" si="9"/>
        <v>0</v>
      </c>
    </row>
    <row r="49" spans="1:9" ht="23.1" customHeight="1" x14ac:dyDescent="0.55000000000000004">
      <c r="A49" s="495"/>
      <c r="B49" s="196" t="s">
        <v>3</v>
      </c>
      <c r="C49" s="197"/>
      <c r="D49" s="197"/>
      <c r="E49" s="197"/>
      <c r="F49" s="214"/>
      <c r="G49" s="235"/>
      <c r="I49" s="615">
        <f t="shared" si="9"/>
        <v>0</v>
      </c>
    </row>
    <row r="50" spans="1:9" ht="23.1" customHeight="1" x14ac:dyDescent="0.55000000000000004">
      <c r="A50" s="673" t="s">
        <v>1</v>
      </c>
      <c r="B50" s="225" t="s">
        <v>2</v>
      </c>
      <c r="C50" s="226">
        <f>SUM(D50:F50)</f>
        <v>466500</v>
      </c>
      <c r="D50" s="226">
        <f>D48+D46</f>
        <v>314500</v>
      </c>
      <c r="E50" s="226">
        <f t="shared" ref="E50:F50" si="11">E48+E46</f>
        <v>152000</v>
      </c>
      <c r="F50" s="226">
        <f t="shared" si="11"/>
        <v>0</v>
      </c>
      <c r="G50" s="235"/>
      <c r="I50" s="615"/>
    </row>
    <row r="51" spans="1:9" ht="22.5" customHeight="1" x14ac:dyDescent="0.55000000000000004">
      <c r="A51" s="674"/>
      <c r="B51" s="225" t="s">
        <v>3</v>
      </c>
      <c r="C51" s="226"/>
      <c r="D51" s="227"/>
      <c r="E51" s="227"/>
      <c r="F51" s="227"/>
      <c r="G51" s="235"/>
      <c r="I51" s="615"/>
    </row>
    <row r="52" spans="1:9" ht="23.1" customHeight="1" x14ac:dyDescent="0.55000000000000004">
      <c r="A52" s="190" t="s">
        <v>329</v>
      </c>
      <c r="B52" s="589"/>
      <c r="C52" s="589"/>
      <c r="D52" s="589"/>
      <c r="E52" s="589"/>
      <c r="F52" s="589"/>
      <c r="G52" s="589"/>
      <c r="I52" s="615"/>
    </row>
    <row r="53" spans="1:9" ht="23.1" customHeight="1" x14ac:dyDescent="0.55000000000000004">
      <c r="A53" s="589"/>
      <c r="B53" s="589"/>
      <c r="C53" s="589">
        <f>C50-C35</f>
        <v>0</v>
      </c>
      <c r="D53" s="589">
        <f t="shared" ref="D53:F53" si="12">D50-D35</f>
        <v>0</v>
      </c>
      <c r="E53" s="589">
        <f t="shared" si="12"/>
        <v>0</v>
      </c>
      <c r="F53" s="589">
        <f t="shared" si="12"/>
        <v>0</v>
      </c>
      <c r="G53" s="589"/>
      <c r="I53" s="615"/>
    </row>
    <row r="54" spans="1:9" ht="23.1" customHeight="1" x14ac:dyDescent="0.55000000000000004">
      <c r="A54" s="589"/>
      <c r="B54" s="589"/>
      <c r="C54" s="589"/>
      <c r="D54" s="589"/>
      <c r="E54" s="589"/>
      <c r="F54" s="589"/>
      <c r="G54" s="589"/>
      <c r="I54" s="615"/>
    </row>
    <row r="55" spans="1:9" ht="23.1" customHeight="1" x14ac:dyDescent="0.55000000000000004">
      <c r="A55" s="589"/>
      <c r="B55" s="589"/>
      <c r="C55" s="589"/>
      <c r="D55" s="589"/>
      <c r="E55" s="589"/>
      <c r="F55" s="589"/>
      <c r="G55" s="589"/>
      <c r="I55" s="615"/>
    </row>
    <row r="56" spans="1:9" ht="23.1" customHeight="1" x14ac:dyDescent="0.55000000000000004">
      <c r="A56" s="589"/>
      <c r="B56" s="589"/>
      <c r="C56" s="589"/>
      <c r="D56" s="589"/>
      <c r="E56" s="589"/>
      <c r="F56" s="589"/>
      <c r="G56" s="589"/>
      <c r="I56" s="615"/>
    </row>
    <row r="57" spans="1:9" ht="23.1" customHeight="1" x14ac:dyDescent="0.55000000000000004">
      <c r="A57" s="589"/>
      <c r="B57" s="589"/>
      <c r="C57" s="589"/>
      <c r="D57" s="589"/>
      <c r="E57" s="589"/>
      <c r="F57" s="589"/>
      <c r="G57" s="589"/>
      <c r="I57" s="615"/>
    </row>
    <row r="58" spans="1:9" ht="23.1" customHeight="1" x14ac:dyDescent="0.55000000000000004">
      <c r="A58" s="589"/>
      <c r="B58" s="589"/>
      <c r="C58" s="589"/>
      <c r="D58" s="589"/>
      <c r="E58" s="589"/>
      <c r="F58" s="589"/>
      <c r="G58" s="589"/>
      <c r="I58" s="615"/>
    </row>
    <row r="59" spans="1:9" ht="23.1" customHeight="1" x14ac:dyDescent="0.55000000000000004">
      <c r="A59" s="589"/>
      <c r="B59" s="589"/>
      <c r="C59" s="589"/>
      <c r="D59" s="589"/>
      <c r="E59" s="589"/>
      <c r="F59" s="589"/>
      <c r="G59" s="589"/>
      <c r="I59" s="615"/>
    </row>
    <row r="60" spans="1:9" ht="23.1" customHeight="1" x14ac:dyDescent="0.55000000000000004">
      <c r="A60" s="589"/>
      <c r="B60" s="589"/>
      <c r="C60" s="589"/>
      <c r="D60" s="589"/>
      <c r="E60" s="589"/>
      <c r="F60" s="589"/>
      <c r="G60" s="589"/>
      <c r="I60" s="615"/>
    </row>
    <row r="61" spans="1:9" ht="23.1" customHeight="1" x14ac:dyDescent="0.55000000000000004">
      <c r="A61" s="589"/>
      <c r="B61" s="589"/>
      <c r="C61" s="589"/>
      <c r="D61" s="589"/>
      <c r="E61" s="589"/>
      <c r="F61" s="589"/>
      <c r="G61" s="589"/>
      <c r="I61" s="615"/>
    </row>
    <row r="62" spans="1:9" ht="23.1" customHeight="1" x14ac:dyDescent="0.55000000000000004">
      <c r="A62" s="589"/>
      <c r="B62" s="589"/>
      <c r="C62" s="589"/>
      <c r="D62" s="589"/>
      <c r="E62" s="589"/>
      <c r="F62" s="589"/>
      <c r="G62" s="589"/>
      <c r="I62" s="615"/>
    </row>
    <row r="63" spans="1:9" ht="23.1" customHeight="1" x14ac:dyDescent="0.55000000000000004">
      <c r="A63" s="589"/>
      <c r="B63" s="589"/>
      <c r="C63" s="589"/>
      <c r="D63" s="589"/>
      <c r="E63" s="589"/>
      <c r="F63" s="589"/>
      <c r="G63" s="589"/>
      <c r="I63" s="615"/>
    </row>
    <row r="64" spans="1:9" ht="21" customHeight="1" x14ac:dyDescent="0.55000000000000004">
      <c r="A64" s="199" t="s">
        <v>194</v>
      </c>
      <c r="B64" s="540" t="s">
        <v>2</v>
      </c>
      <c r="C64" s="541">
        <f>SUM(D64:F64)</f>
        <v>5890000</v>
      </c>
      <c r="D64" s="541">
        <f>D66</f>
        <v>1590600</v>
      </c>
      <c r="E64" s="541">
        <f>E66</f>
        <v>2553400</v>
      </c>
      <c r="F64" s="201">
        <f>F66</f>
        <v>1746000</v>
      </c>
      <c r="G64" s="235"/>
      <c r="I64" s="615">
        <f>H64-C64</f>
        <v>-5890000</v>
      </c>
    </row>
    <row r="65" spans="1:9" ht="21" customHeight="1" x14ac:dyDescent="0.55000000000000004">
      <c r="A65" s="230"/>
      <c r="B65" s="537" t="s">
        <v>3</v>
      </c>
      <c r="C65" s="538"/>
      <c r="D65" s="539"/>
      <c r="E65" s="539"/>
      <c r="F65" s="539"/>
      <c r="G65" s="235"/>
      <c r="I65" s="615">
        <f>H65-C65</f>
        <v>0</v>
      </c>
    </row>
    <row r="66" spans="1:9" ht="21" customHeight="1" x14ac:dyDescent="0.55000000000000004">
      <c r="A66" s="199" t="s">
        <v>349</v>
      </c>
      <c r="B66" s="200" t="s">
        <v>2</v>
      </c>
      <c r="C66" s="201">
        <f>SUM(D66:F66)</f>
        <v>5890000</v>
      </c>
      <c r="D66" s="201">
        <f>D68+D85</f>
        <v>1590600</v>
      </c>
      <c r="E66" s="201">
        <f>E68+E85</f>
        <v>2553400</v>
      </c>
      <c r="F66" s="201">
        <f>F68+F85</f>
        <v>1746000</v>
      </c>
      <c r="G66" s="235"/>
      <c r="H66" s="589">
        <f>F66-5790000-100000</f>
        <v>-4144000</v>
      </c>
      <c r="I66" s="615">
        <f t="shared" si="9"/>
        <v>-10034000</v>
      </c>
    </row>
    <row r="67" spans="1:9" ht="21" customHeight="1" x14ac:dyDescent="0.55000000000000004">
      <c r="A67" s="230"/>
      <c r="B67" s="200" t="s">
        <v>3</v>
      </c>
      <c r="C67" s="201"/>
      <c r="D67" s="224"/>
      <c r="E67" s="224"/>
      <c r="F67" s="224"/>
      <c r="G67" s="235"/>
      <c r="I67" s="615">
        <f t="shared" si="9"/>
        <v>0</v>
      </c>
    </row>
    <row r="68" spans="1:9" ht="21" customHeight="1" x14ac:dyDescent="0.55000000000000004">
      <c r="A68" s="205" t="s">
        <v>338</v>
      </c>
      <c r="B68" s="566" t="s">
        <v>2</v>
      </c>
      <c r="C68" s="259">
        <f>SUM(D68:F68)</f>
        <v>5790000</v>
      </c>
      <c r="D68" s="248">
        <f>SUM(D72:D83)</f>
        <v>1490600</v>
      </c>
      <c r="E68" s="248">
        <f>SUM(E72:E83)</f>
        <v>2553400</v>
      </c>
      <c r="F68" s="248">
        <f>SUM(F72:F83)</f>
        <v>1746000</v>
      </c>
      <c r="G68" s="235"/>
      <c r="I68" s="615">
        <f t="shared" si="9"/>
        <v>-5790000</v>
      </c>
    </row>
    <row r="69" spans="1:9" ht="21" customHeight="1" x14ac:dyDescent="0.55000000000000004">
      <c r="A69" s="205"/>
      <c r="B69" s="524" t="s">
        <v>3</v>
      </c>
      <c r="C69" s="243"/>
      <c r="D69" s="243"/>
      <c r="E69" s="243"/>
      <c r="F69" s="243"/>
      <c r="G69" s="235"/>
      <c r="I69" s="615">
        <f t="shared" si="9"/>
        <v>0</v>
      </c>
    </row>
    <row r="70" spans="1:9" ht="21" customHeight="1" x14ac:dyDescent="0.55000000000000004">
      <c r="A70" s="206" t="s">
        <v>38</v>
      </c>
      <c r="B70" s="241"/>
      <c r="C70" s="243"/>
      <c r="D70" s="247"/>
      <c r="E70" s="247"/>
      <c r="F70" s="247"/>
      <c r="G70" s="235"/>
      <c r="I70" s="615">
        <f t="shared" si="9"/>
        <v>0</v>
      </c>
    </row>
    <row r="71" spans="1:9" ht="21" customHeight="1" x14ac:dyDescent="0.55000000000000004">
      <c r="A71" s="207" t="s">
        <v>9</v>
      </c>
      <c r="B71" s="241"/>
      <c r="C71" s="243"/>
      <c r="D71" s="247"/>
      <c r="E71" s="247"/>
      <c r="F71" s="247"/>
      <c r="G71" s="253"/>
    </row>
    <row r="72" spans="1:9" ht="21" customHeight="1" x14ac:dyDescent="0.55000000000000004">
      <c r="A72" s="208" t="s">
        <v>417</v>
      </c>
      <c r="B72" s="241" t="s">
        <v>2</v>
      </c>
      <c r="C72" s="243">
        <f t="shared" ref="C72" si="13">SUM(D72:F72)</f>
        <v>170100</v>
      </c>
      <c r="D72" s="244">
        <v>56700</v>
      </c>
      <c r="E72" s="244">
        <v>57400</v>
      </c>
      <c r="F72" s="244">
        <v>56000</v>
      </c>
      <c r="G72" s="235"/>
      <c r="H72" s="589">
        <v>170100</v>
      </c>
      <c r="I72" s="615">
        <f>H72-C72</f>
        <v>0</v>
      </c>
    </row>
    <row r="73" spans="1:9" ht="21" customHeight="1" x14ac:dyDescent="0.55000000000000004">
      <c r="A73" s="208" t="s">
        <v>270</v>
      </c>
      <c r="B73" s="241" t="s">
        <v>2</v>
      </c>
      <c r="C73" s="243">
        <f>SUM(D73:F73)</f>
        <v>4200000</v>
      </c>
      <c r="D73" s="244">
        <v>950000</v>
      </c>
      <c r="E73" s="244">
        <v>1850000</v>
      </c>
      <c r="F73" s="244">
        <v>1400000</v>
      </c>
      <c r="G73" s="235"/>
      <c r="H73" s="589">
        <v>4200000</v>
      </c>
      <c r="I73" s="615">
        <f t="shared" ref="I73:I95" si="14">H73-C73</f>
        <v>0</v>
      </c>
    </row>
    <row r="74" spans="1:9" ht="21" customHeight="1" x14ac:dyDescent="0.55000000000000004">
      <c r="A74" s="208" t="s">
        <v>271</v>
      </c>
      <c r="B74" s="241" t="s">
        <v>2</v>
      </c>
      <c r="C74" s="243">
        <f>SUM(D74:F74)</f>
        <v>324000</v>
      </c>
      <c r="D74" s="244">
        <v>95000</v>
      </c>
      <c r="E74" s="244">
        <v>139000</v>
      </c>
      <c r="F74" s="244">
        <v>90000</v>
      </c>
      <c r="G74" s="235"/>
      <c r="H74" s="589">
        <v>324000</v>
      </c>
      <c r="I74" s="615">
        <f t="shared" si="14"/>
        <v>0</v>
      </c>
    </row>
    <row r="75" spans="1:9" ht="21" customHeight="1" x14ac:dyDescent="0.55000000000000004">
      <c r="A75" s="207" t="s">
        <v>10</v>
      </c>
      <c r="B75" s="241"/>
      <c r="C75" s="243"/>
      <c r="D75" s="247"/>
      <c r="E75" s="247"/>
      <c r="F75" s="247"/>
      <c r="G75" s="253"/>
      <c r="I75" s="615">
        <f t="shared" si="14"/>
        <v>0</v>
      </c>
    </row>
    <row r="76" spans="1:9" ht="21" hidden="1" customHeight="1" x14ac:dyDescent="0.55000000000000004">
      <c r="A76" s="208" t="s">
        <v>272</v>
      </c>
      <c r="B76" s="245" t="s">
        <v>2</v>
      </c>
      <c r="C76" s="256">
        <f>SUM(D76:F76)</f>
        <v>0</v>
      </c>
      <c r="D76" s="453"/>
      <c r="E76" s="453"/>
      <c r="F76" s="453"/>
      <c r="G76" s="235"/>
      <c r="I76" s="615"/>
    </row>
    <row r="77" spans="1:9" ht="21" customHeight="1" x14ac:dyDescent="0.55000000000000004">
      <c r="A77" s="208" t="s">
        <v>263</v>
      </c>
      <c r="B77" s="241" t="s">
        <v>2</v>
      </c>
      <c r="C77" s="243">
        <f t="shared" ref="C77" si="15">SUM(D77:F77)</f>
        <v>700000</v>
      </c>
      <c r="D77" s="453">
        <v>200000</v>
      </c>
      <c r="E77" s="453">
        <v>300000</v>
      </c>
      <c r="F77" s="453">
        <v>200000</v>
      </c>
      <c r="G77" s="235"/>
      <c r="H77" s="589">
        <v>700000</v>
      </c>
      <c r="I77" s="615">
        <f t="shared" si="14"/>
        <v>0</v>
      </c>
    </row>
    <row r="78" spans="1:9" ht="21" customHeight="1" x14ac:dyDescent="0.55000000000000004">
      <c r="A78" s="207" t="s">
        <v>11</v>
      </c>
      <c r="B78" s="245"/>
      <c r="C78" s="256"/>
      <c r="D78" s="535"/>
      <c r="E78" s="535"/>
      <c r="F78" s="535"/>
      <c r="G78" s="235"/>
      <c r="I78" s="615">
        <f t="shared" si="14"/>
        <v>0</v>
      </c>
    </row>
    <row r="79" spans="1:9" ht="21" hidden="1" customHeight="1" x14ac:dyDescent="0.55000000000000004">
      <c r="A79" s="208" t="s">
        <v>266</v>
      </c>
      <c r="B79" s="241" t="s">
        <v>2</v>
      </c>
      <c r="C79" s="251">
        <f t="shared" ref="C79:C82" si="16">SUM(D79:F79)</f>
        <v>0</v>
      </c>
      <c r="D79" s="244"/>
      <c r="E79" s="244"/>
      <c r="F79" s="244"/>
      <c r="G79" s="235"/>
      <c r="I79" s="615">
        <f t="shared" si="14"/>
        <v>0</v>
      </c>
    </row>
    <row r="80" spans="1:9" ht="23.1" hidden="1" customHeight="1" x14ac:dyDescent="0.55000000000000004">
      <c r="A80" s="208" t="s">
        <v>268</v>
      </c>
      <c r="B80" s="241" t="s">
        <v>2</v>
      </c>
      <c r="C80" s="243">
        <f t="shared" si="16"/>
        <v>0</v>
      </c>
      <c r="D80" s="255"/>
      <c r="E80" s="255"/>
      <c r="F80" s="255"/>
      <c r="G80" s="483"/>
      <c r="H80" s="589">
        <v>0</v>
      </c>
      <c r="I80" s="615">
        <f t="shared" si="14"/>
        <v>0</v>
      </c>
    </row>
    <row r="81" spans="1:9" ht="21" customHeight="1" x14ac:dyDescent="0.55000000000000004">
      <c r="A81" s="208" t="s">
        <v>418</v>
      </c>
      <c r="B81" s="241" t="s">
        <v>2</v>
      </c>
      <c r="C81" s="243">
        <f t="shared" si="16"/>
        <v>223600</v>
      </c>
      <c r="D81" s="244">
        <v>100000</v>
      </c>
      <c r="E81" s="244">
        <v>123600</v>
      </c>
      <c r="F81" s="244"/>
      <c r="G81" s="235"/>
      <c r="H81" s="589">
        <v>223600</v>
      </c>
      <c r="I81" s="615">
        <f t="shared" ref="I81:I82" si="17">H81-C81</f>
        <v>0</v>
      </c>
    </row>
    <row r="82" spans="1:9" ht="21" customHeight="1" x14ac:dyDescent="0.55000000000000004">
      <c r="A82" s="208" t="s">
        <v>273</v>
      </c>
      <c r="B82" s="241" t="s">
        <v>2</v>
      </c>
      <c r="C82" s="243">
        <f t="shared" si="16"/>
        <v>88900</v>
      </c>
      <c r="D82" s="244">
        <v>88900</v>
      </c>
      <c r="E82" s="244"/>
      <c r="F82" s="244"/>
      <c r="G82" s="235"/>
      <c r="H82" s="589">
        <v>88900</v>
      </c>
      <c r="I82" s="615">
        <f t="shared" si="17"/>
        <v>0</v>
      </c>
    </row>
    <row r="83" spans="1:9" ht="21" customHeight="1" x14ac:dyDescent="0.55000000000000004">
      <c r="A83" s="208" t="s">
        <v>274</v>
      </c>
      <c r="B83" s="241" t="s">
        <v>2</v>
      </c>
      <c r="C83" s="243">
        <f t="shared" ref="C83" si="18">SUM(D83:F83)</f>
        <v>83400</v>
      </c>
      <c r="D83" s="244"/>
      <c r="E83" s="244">
        <v>83400</v>
      </c>
      <c r="F83" s="244"/>
      <c r="G83" s="235"/>
      <c r="H83" s="589">
        <v>83400</v>
      </c>
      <c r="I83" s="615">
        <f t="shared" si="14"/>
        <v>0</v>
      </c>
    </row>
    <row r="84" spans="1:9" ht="21" customHeight="1" x14ac:dyDescent="0.55000000000000004">
      <c r="A84" s="223"/>
      <c r="B84" s="236"/>
      <c r="C84" s="212"/>
      <c r="D84" s="231"/>
      <c r="E84" s="231"/>
      <c r="F84" s="232"/>
      <c r="G84" s="235"/>
      <c r="I84" s="615"/>
    </row>
    <row r="85" spans="1:9" ht="21" customHeight="1" x14ac:dyDescent="0.55000000000000004">
      <c r="A85" s="204" t="s">
        <v>171</v>
      </c>
      <c r="B85" s="566" t="s">
        <v>2</v>
      </c>
      <c r="C85" s="259">
        <f>SUM(D85:F85)</f>
        <v>100000</v>
      </c>
      <c r="D85" s="601">
        <f>D87</f>
        <v>100000</v>
      </c>
      <c r="E85" s="601">
        <f t="shared" ref="E85:F85" si="19">E87</f>
        <v>0</v>
      </c>
      <c r="F85" s="646">
        <f t="shared" si="19"/>
        <v>0</v>
      </c>
      <c r="G85" s="235"/>
      <c r="I85" s="615">
        <f t="shared" si="14"/>
        <v>-100000</v>
      </c>
    </row>
    <row r="86" spans="1:9" ht="21" customHeight="1" x14ac:dyDescent="0.55000000000000004">
      <c r="A86" s="238"/>
      <c r="B86" s="567" t="s">
        <v>3</v>
      </c>
      <c r="C86" s="251"/>
      <c r="D86" s="252"/>
      <c r="E86" s="252"/>
      <c r="F86" s="244"/>
      <c r="G86" s="235"/>
      <c r="I86" s="615">
        <f t="shared" si="14"/>
        <v>0</v>
      </c>
    </row>
    <row r="87" spans="1:9" ht="21" customHeight="1" x14ac:dyDescent="0.55000000000000004">
      <c r="A87" s="208" t="s">
        <v>383</v>
      </c>
      <c r="B87" s="241" t="s">
        <v>2</v>
      </c>
      <c r="C87" s="251">
        <f>SUM(D87:F87)</f>
        <v>100000</v>
      </c>
      <c r="D87" s="252">
        <v>100000</v>
      </c>
      <c r="E87" s="252"/>
      <c r="F87" s="244"/>
      <c r="G87" s="235"/>
      <c r="H87" s="589">
        <v>100000</v>
      </c>
      <c r="I87" s="615">
        <f t="shared" si="14"/>
        <v>0</v>
      </c>
    </row>
    <row r="88" spans="1:9" ht="21" customHeight="1" x14ac:dyDescent="0.55000000000000004">
      <c r="A88" s="223"/>
      <c r="B88" s="236" t="s">
        <v>3</v>
      </c>
      <c r="C88" s="212"/>
      <c r="D88" s="231"/>
      <c r="E88" s="231"/>
      <c r="F88" s="232"/>
      <c r="G88" s="235"/>
      <c r="I88" s="615">
        <f t="shared" si="14"/>
        <v>0</v>
      </c>
    </row>
    <row r="89" spans="1:9" ht="21" customHeight="1" x14ac:dyDescent="0.55000000000000004">
      <c r="A89" s="195" t="s">
        <v>365</v>
      </c>
      <c r="B89" s="196" t="s">
        <v>2</v>
      </c>
      <c r="C89" s="197">
        <f>SUM(D89:F89)</f>
        <v>5890000</v>
      </c>
      <c r="D89" s="197">
        <f>D64</f>
        <v>1590600</v>
      </c>
      <c r="E89" s="197">
        <f>E64</f>
        <v>2553400</v>
      </c>
      <c r="F89" s="214">
        <f>F64</f>
        <v>1746000</v>
      </c>
      <c r="G89" s="235"/>
      <c r="I89" s="615">
        <f t="shared" si="14"/>
        <v>-5890000</v>
      </c>
    </row>
    <row r="90" spans="1:9" ht="21" customHeight="1" x14ac:dyDescent="0.55000000000000004">
      <c r="A90" s="495"/>
      <c r="B90" s="196" t="s">
        <v>3</v>
      </c>
      <c r="C90" s="197"/>
      <c r="D90" s="197"/>
      <c r="E90" s="197"/>
      <c r="F90" s="214"/>
      <c r="G90" s="235"/>
      <c r="I90" s="615">
        <f t="shared" si="14"/>
        <v>0</v>
      </c>
    </row>
    <row r="91" spans="1:9" ht="21" customHeight="1" x14ac:dyDescent="0.55000000000000004">
      <c r="A91" s="195" t="s">
        <v>366</v>
      </c>
      <c r="B91" s="196" t="s">
        <v>2</v>
      </c>
      <c r="C91" s="197">
        <f>SUM(D91:F91)</f>
        <v>0</v>
      </c>
      <c r="D91" s="197">
        <v>0</v>
      </c>
      <c r="E91" s="197">
        <v>0</v>
      </c>
      <c r="F91" s="214">
        <v>0</v>
      </c>
      <c r="G91" s="235"/>
      <c r="I91" s="615">
        <f t="shared" si="14"/>
        <v>0</v>
      </c>
    </row>
    <row r="92" spans="1:9" ht="21" customHeight="1" x14ac:dyDescent="0.55000000000000004">
      <c r="A92" s="495"/>
      <c r="B92" s="196" t="s">
        <v>3</v>
      </c>
      <c r="C92" s="197"/>
      <c r="D92" s="197"/>
      <c r="E92" s="197"/>
      <c r="F92" s="214"/>
      <c r="G92" s="235"/>
      <c r="I92" s="615">
        <f t="shared" si="14"/>
        <v>0</v>
      </c>
    </row>
    <row r="93" spans="1:9" ht="21" customHeight="1" x14ac:dyDescent="0.55000000000000004">
      <c r="A93" s="673" t="s">
        <v>1</v>
      </c>
      <c r="B93" s="225" t="s">
        <v>2</v>
      </c>
      <c r="C93" s="226">
        <f>SUM(D93:F93)</f>
        <v>5890000</v>
      </c>
      <c r="D93" s="226">
        <f>D89+D91</f>
        <v>1590600</v>
      </c>
      <c r="E93" s="226">
        <f t="shared" ref="E93:F93" si="20">E89+E91</f>
        <v>2553400</v>
      </c>
      <c r="F93" s="226">
        <f t="shared" si="20"/>
        <v>1746000</v>
      </c>
      <c r="G93" s="235"/>
      <c r="I93" s="615">
        <f t="shared" si="14"/>
        <v>-5890000</v>
      </c>
    </row>
    <row r="94" spans="1:9" ht="21" customHeight="1" x14ac:dyDescent="0.55000000000000004">
      <c r="A94" s="674"/>
      <c r="B94" s="225" t="s">
        <v>3</v>
      </c>
      <c r="C94" s="214"/>
      <c r="D94" s="214"/>
      <c r="E94" s="214"/>
      <c r="F94" s="214"/>
      <c r="G94" s="235"/>
      <c r="I94" s="615">
        <f t="shared" si="14"/>
        <v>0</v>
      </c>
    </row>
    <row r="95" spans="1:9" ht="25.5" customHeight="1" x14ac:dyDescent="0.55000000000000004">
      <c r="A95" s="190" t="s">
        <v>329</v>
      </c>
      <c r="B95" s="235"/>
      <c r="C95" s="235">
        <f>C93-C64</f>
        <v>0</v>
      </c>
      <c r="D95" s="235">
        <f>D93-D64</f>
        <v>0</v>
      </c>
      <c r="E95" s="235">
        <f>E93-E64</f>
        <v>0</v>
      </c>
      <c r="F95" s="235">
        <f>F93-F64</f>
        <v>0</v>
      </c>
      <c r="G95" s="235"/>
      <c r="I95" s="615">
        <f t="shared" si="14"/>
        <v>0</v>
      </c>
    </row>
    <row r="96" spans="1:9" ht="25.5" customHeight="1" x14ac:dyDescent="0.55000000000000004">
      <c r="A96" s="190"/>
      <c r="B96" s="235"/>
      <c r="C96" s="235"/>
      <c r="D96" s="235"/>
      <c r="E96" s="235"/>
      <c r="F96" s="235"/>
      <c r="G96" s="235"/>
      <c r="I96" s="615"/>
    </row>
    <row r="97" spans="1:9" ht="9" customHeight="1" x14ac:dyDescent="0.55000000000000004">
      <c r="A97" s="190"/>
      <c r="B97" s="235"/>
      <c r="C97" s="235"/>
      <c r="D97" s="235"/>
      <c r="E97" s="235"/>
      <c r="F97" s="235"/>
      <c r="G97" s="235"/>
      <c r="I97" s="615"/>
    </row>
    <row r="98" spans="1:9" ht="21.95" customHeight="1" x14ac:dyDescent="0.55000000000000004">
      <c r="A98" s="199" t="s">
        <v>194</v>
      </c>
      <c r="B98" s="540" t="s">
        <v>2</v>
      </c>
      <c r="C98" s="541">
        <f>SUM(D98:F98)</f>
        <v>3892200</v>
      </c>
      <c r="D98" s="541">
        <f t="shared" ref="D98:F98" si="21">D100</f>
        <v>1000800</v>
      </c>
      <c r="E98" s="541">
        <f t="shared" si="21"/>
        <v>2424700</v>
      </c>
      <c r="F98" s="201">
        <f t="shared" si="21"/>
        <v>466700</v>
      </c>
      <c r="G98" s="235"/>
      <c r="I98" s="615">
        <f>H98-C98</f>
        <v>-3892200</v>
      </c>
    </row>
    <row r="99" spans="1:9" ht="21.95" customHeight="1" x14ac:dyDescent="0.55000000000000004">
      <c r="A99" s="203"/>
      <c r="B99" s="537" t="s">
        <v>3</v>
      </c>
      <c r="C99" s="538"/>
      <c r="D99" s="538"/>
      <c r="E99" s="538"/>
      <c r="F99" s="493"/>
      <c r="G99" s="235"/>
      <c r="I99" s="615">
        <f>H99-C99</f>
        <v>0</v>
      </c>
    </row>
    <row r="100" spans="1:9" ht="21.95" customHeight="1" x14ac:dyDescent="0.55000000000000004">
      <c r="A100" s="199" t="s">
        <v>350</v>
      </c>
      <c r="B100" s="200" t="s">
        <v>2</v>
      </c>
      <c r="C100" s="201">
        <f>SUM(D100:F100)</f>
        <v>3892200</v>
      </c>
      <c r="D100" s="201">
        <f>D102</f>
        <v>1000800</v>
      </c>
      <c r="E100" s="201">
        <f t="shared" ref="E100:F100" si="22">E102</f>
        <v>2424700</v>
      </c>
      <c r="F100" s="201">
        <f t="shared" si="22"/>
        <v>466700</v>
      </c>
      <c r="G100" s="235"/>
      <c r="H100" s="589">
        <f>F100-3892200</f>
        <v>-3425500</v>
      </c>
    </row>
    <row r="101" spans="1:9" ht="21.95" customHeight="1" x14ac:dyDescent="0.55000000000000004">
      <c r="A101" s="230"/>
      <c r="B101" s="200" t="s">
        <v>3</v>
      </c>
      <c r="C101" s="201"/>
      <c r="D101" s="224"/>
      <c r="E101" s="224"/>
      <c r="F101" s="224"/>
      <c r="G101" s="235"/>
    </row>
    <row r="102" spans="1:9" ht="21.95" customHeight="1" x14ac:dyDescent="0.55000000000000004">
      <c r="A102" s="204" t="s">
        <v>338</v>
      </c>
      <c r="B102" s="525" t="s">
        <v>2</v>
      </c>
      <c r="C102" s="248">
        <f>SUM(D102:F102)</f>
        <v>3892200</v>
      </c>
      <c r="D102" s="248">
        <f>SUM(D106:D117)</f>
        <v>1000800</v>
      </c>
      <c r="E102" s="248">
        <f>SUM(E106:E117)</f>
        <v>2424700</v>
      </c>
      <c r="F102" s="248">
        <f>SUM(F106:F117)</f>
        <v>466700</v>
      </c>
      <c r="G102" s="235"/>
    </row>
    <row r="103" spans="1:9" ht="21.95" customHeight="1" x14ac:dyDescent="0.55000000000000004">
      <c r="A103" s="205"/>
      <c r="B103" s="524" t="s">
        <v>3</v>
      </c>
      <c r="C103" s="243"/>
      <c r="D103" s="243"/>
      <c r="E103" s="243"/>
      <c r="F103" s="243"/>
      <c r="G103" s="235"/>
    </row>
    <row r="104" spans="1:9" ht="21.95" customHeight="1" x14ac:dyDescent="0.55000000000000004">
      <c r="A104" s="206" t="s">
        <v>38</v>
      </c>
      <c r="B104" s="241"/>
      <c r="C104" s="243"/>
      <c r="D104" s="247"/>
      <c r="E104" s="247"/>
      <c r="F104" s="247"/>
      <c r="G104" s="253"/>
      <c r="I104" s="615">
        <f t="shared" ref="I104:I110" si="23">H104-C104</f>
        <v>0</v>
      </c>
    </row>
    <row r="105" spans="1:9" ht="21.95" customHeight="1" x14ac:dyDescent="0.55000000000000004">
      <c r="A105" s="207" t="s">
        <v>9</v>
      </c>
      <c r="B105" s="241"/>
      <c r="C105" s="243"/>
      <c r="D105" s="247"/>
      <c r="E105" s="247"/>
      <c r="F105" s="247"/>
      <c r="G105" s="253"/>
      <c r="I105" s="615">
        <f t="shared" si="23"/>
        <v>0</v>
      </c>
    </row>
    <row r="106" spans="1:9" ht="21.95" customHeight="1" x14ac:dyDescent="0.55000000000000004">
      <c r="A106" s="208" t="s">
        <v>262</v>
      </c>
      <c r="B106" s="241" t="s">
        <v>2</v>
      </c>
      <c r="C106" s="243">
        <f>SUM(D106:F106)</f>
        <v>1326700</v>
      </c>
      <c r="D106" s="244">
        <v>290000</v>
      </c>
      <c r="E106" s="244">
        <v>770000</v>
      </c>
      <c r="F106" s="244">
        <v>266700</v>
      </c>
      <c r="G106" s="235"/>
      <c r="H106" s="589">
        <v>1326700</v>
      </c>
      <c r="I106" s="615">
        <f t="shared" si="23"/>
        <v>0</v>
      </c>
    </row>
    <row r="107" spans="1:9" ht="21.95" customHeight="1" x14ac:dyDescent="0.55000000000000004">
      <c r="A107" s="207" t="s">
        <v>10</v>
      </c>
      <c r="B107" s="241"/>
      <c r="C107" s="243"/>
      <c r="D107" s="247"/>
      <c r="E107" s="247"/>
      <c r="F107" s="247"/>
      <c r="G107" s="253"/>
      <c r="I107" s="615">
        <f t="shared" si="23"/>
        <v>0</v>
      </c>
    </row>
    <row r="108" spans="1:9" ht="21.95" customHeight="1" x14ac:dyDescent="0.55000000000000004">
      <c r="A108" s="208" t="s">
        <v>263</v>
      </c>
      <c r="B108" s="241" t="s">
        <v>2</v>
      </c>
      <c r="C108" s="243">
        <f>SUM(D108:F108)</f>
        <v>314100</v>
      </c>
      <c r="D108" s="244">
        <v>100000</v>
      </c>
      <c r="E108" s="244">
        <v>214100</v>
      </c>
      <c r="F108" s="244"/>
      <c r="G108" s="235"/>
      <c r="H108" s="589">
        <v>314100</v>
      </c>
      <c r="I108" s="615">
        <f t="shared" si="23"/>
        <v>0</v>
      </c>
    </row>
    <row r="109" spans="1:9" ht="21.95" customHeight="1" x14ac:dyDescent="0.55000000000000004">
      <c r="A109" s="208" t="s">
        <v>272</v>
      </c>
      <c r="B109" s="241" t="s">
        <v>2</v>
      </c>
      <c r="C109" s="243">
        <f>SUM(D109:F109)</f>
        <v>0</v>
      </c>
      <c r="D109" s="244"/>
      <c r="E109" s="244"/>
      <c r="F109" s="244"/>
      <c r="G109" s="235"/>
      <c r="H109" s="589">
        <v>0</v>
      </c>
      <c r="I109" s="615">
        <f t="shared" si="23"/>
        <v>0</v>
      </c>
    </row>
    <row r="110" spans="1:9" ht="21.95" customHeight="1" x14ac:dyDescent="0.55000000000000004">
      <c r="A110" s="223"/>
      <c r="B110" s="449"/>
      <c r="C110" s="450"/>
      <c r="D110" s="452"/>
      <c r="E110" s="452"/>
      <c r="F110" s="452"/>
      <c r="G110" s="235"/>
      <c r="I110" s="615">
        <f t="shared" si="23"/>
        <v>0</v>
      </c>
    </row>
    <row r="111" spans="1:9" ht="21.95" customHeight="1" x14ac:dyDescent="0.55000000000000004">
      <c r="A111" s="446" t="s">
        <v>11</v>
      </c>
      <c r="B111" s="447"/>
      <c r="C111" s="481"/>
      <c r="D111" s="482"/>
      <c r="E111" s="482"/>
      <c r="F111" s="482"/>
      <c r="G111" s="532"/>
    </row>
    <row r="112" spans="1:9" ht="21.95" hidden="1" customHeight="1" x14ac:dyDescent="0.55000000000000004">
      <c r="A112" s="208" t="s">
        <v>266</v>
      </c>
      <c r="B112" s="241" t="s">
        <v>2</v>
      </c>
      <c r="C112" s="243">
        <f t="shared" ref="C112:C117" si="24">SUM(D112:F112)</f>
        <v>0</v>
      </c>
      <c r="D112" s="255"/>
      <c r="E112" s="255"/>
      <c r="F112" s="255"/>
      <c r="G112" s="529"/>
      <c r="H112" s="589">
        <v>0</v>
      </c>
    </row>
    <row r="113" spans="1:9" s="104" customFormat="1" ht="21.95" customHeight="1" x14ac:dyDescent="0.55000000000000004">
      <c r="A113" s="664" t="s">
        <v>276</v>
      </c>
      <c r="B113" s="665" t="s">
        <v>2</v>
      </c>
      <c r="C113" s="666">
        <f>SUM(D113:F113)</f>
        <v>2040600</v>
      </c>
      <c r="D113" s="667">
        <v>400000</v>
      </c>
      <c r="E113" s="667">
        <v>1440600</v>
      </c>
      <c r="F113" s="667">
        <v>200000</v>
      </c>
      <c r="G113" s="668"/>
      <c r="H113" s="669">
        <v>2040600</v>
      </c>
      <c r="I113" s="670">
        <f t="shared" ref="I113:I116" si="25">H113-C113</f>
        <v>0</v>
      </c>
    </row>
    <row r="114" spans="1:9" ht="21.95" customHeight="1" x14ac:dyDescent="0.55000000000000004">
      <c r="A114" s="208" t="s">
        <v>269</v>
      </c>
      <c r="B114" s="245" t="s">
        <v>2</v>
      </c>
      <c r="C114" s="256">
        <f>SUM(D114:F114)</f>
        <v>57200</v>
      </c>
      <c r="D114" s="255">
        <v>57200</v>
      </c>
      <c r="E114" s="255"/>
      <c r="F114" s="255"/>
      <c r="G114" s="235"/>
      <c r="H114" s="589">
        <v>57200</v>
      </c>
      <c r="I114" s="615">
        <f t="shared" si="25"/>
        <v>0</v>
      </c>
    </row>
    <row r="115" spans="1:9" ht="21.95" customHeight="1" x14ac:dyDescent="0.55000000000000004">
      <c r="A115" s="208" t="s">
        <v>273</v>
      </c>
      <c r="B115" s="241" t="s">
        <v>2</v>
      </c>
      <c r="C115" s="243">
        <f>SUM(D115:F115)</f>
        <v>52100</v>
      </c>
      <c r="D115" s="453">
        <v>52100</v>
      </c>
      <c r="E115" s="453"/>
      <c r="F115" s="453"/>
      <c r="G115" s="235"/>
      <c r="H115" s="589">
        <v>52100</v>
      </c>
      <c r="I115" s="615">
        <f t="shared" si="25"/>
        <v>0</v>
      </c>
    </row>
    <row r="116" spans="1:9" ht="21.95" customHeight="1" x14ac:dyDescent="0.55000000000000004">
      <c r="A116" s="223" t="s">
        <v>275</v>
      </c>
      <c r="B116" s="449" t="s">
        <v>2</v>
      </c>
      <c r="C116" s="450">
        <f>SUM(D116:F116)</f>
        <v>101500</v>
      </c>
      <c r="D116" s="453">
        <v>101500</v>
      </c>
      <c r="E116" s="453"/>
      <c r="F116" s="453"/>
      <c r="G116" s="235"/>
      <c r="H116" s="589">
        <v>101500</v>
      </c>
      <c r="I116" s="615">
        <f t="shared" si="25"/>
        <v>0</v>
      </c>
    </row>
    <row r="117" spans="1:9" ht="24" hidden="1" customHeight="1" x14ac:dyDescent="0.55000000000000004">
      <c r="A117" s="223" t="s">
        <v>278</v>
      </c>
      <c r="B117" s="236" t="s">
        <v>2</v>
      </c>
      <c r="C117" s="237">
        <f t="shared" si="24"/>
        <v>0</v>
      </c>
      <c r="D117" s="232"/>
      <c r="E117" s="232"/>
      <c r="F117" s="232"/>
      <c r="G117" s="235"/>
    </row>
    <row r="118" spans="1:9" ht="24" customHeight="1" x14ac:dyDescent="0.55000000000000004">
      <c r="A118" s="468" t="s">
        <v>365</v>
      </c>
      <c r="B118" s="196" t="s">
        <v>2</v>
      </c>
      <c r="C118" s="197">
        <f>SUM(D118:F118)</f>
        <v>3892200</v>
      </c>
      <c r="D118" s="197">
        <f>D98</f>
        <v>1000800</v>
      </c>
      <c r="E118" s="197">
        <f t="shared" ref="E118:F118" si="26">E98</f>
        <v>2424700</v>
      </c>
      <c r="F118" s="226">
        <f t="shared" si="26"/>
        <v>466700</v>
      </c>
      <c r="G118" s="235"/>
    </row>
    <row r="119" spans="1:9" ht="24" customHeight="1" x14ac:dyDescent="0.55000000000000004">
      <c r="A119" s="495"/>
      <c r="B119" s="196" t="s">
        <v>3</v>
      </c>
      <c r="C119" s="197"/>
      <c r="D119" s="197"/>
      <c r="E119" s="197"/>
      <c r="F119" s="214"/>
      <c r="G119" s="235"/>
    </row>
    <row r="120" spans="1:9" ht="24" customHeight="1" x14ac:dyDescent="0.55000000000000004">
      <c r="A120" s="195" t="s">
        <v>366</v>
      </c>
      <c r="B120" s="196" t="s">
        <v>2</v>
      </c>
      <c r="C120" s="197">
        <f>SUM(D120:F120)</f>
        <v>0</v>
      </c>
      <c r="D120" s="197">
        <v>0</v>
      </c>
      <c r="E120" s="197">
        <v>0</v>
      </c>
      <c r="F120" s="214">
        <v>0</v>
      </c>
      <c r="G120" s="235"/>
    </row>
    <row r="121" spans="1:9" ht="24" customHeight="1" x14ac:dyDescent="0.55000000000000004">
      <c r="A121" s="495"/>
      <c r="B121" s="196" t="s">
        <v>3</v>
      </c>
      <c r="C121" s="197"/>
      <c r="D121" s="197"/>
      <c r="E121" s="197"/>
      <c r="F121" s="214"/>
      <c r="G121" s="235"/>
    </row>
    <row r="122" spans="1:9" ht="24" customHeight="1" x14ac:dyDescent="0.55000000000000004">
      <c r="A122" s="673" t="s">
        <v>1</v>
      </c>
      <c r="B122" s="225" t="s">
        <v>2</v>
      </c>
      <c r="C122" s="226">
        <f>SUM(D122:F122)</f>
        <v>3892200</v>
      </c>
      <c r="D122" s="226">
        <f>D118+D120</f>
        <v>1000800</v>
      </c>
      <c r="E122" s="226">
        <f t="shared" ref="E122:F122" si="27">E118+E120</f>
        <v>2424700</v>
      </c>
      <c r="F122" s="226">
        <f t="shared" si="27"/>
        <v>466700</v>
      </c>
      <c r="G122" s="235"/>
    </row>
    <row r="123" spans="1:9" ht="24" customHeight="1" x14ac:dyDescent="0.55000000000000004">
      <c r="A123" s="674"/>
      <c r="B123" s="225" t="s">
        <v>3</v>
      </c>
      <c r="C123" s="226"/>
      <c r="D123" s="226"/>
      <c r="E123" s="226"/>
      <c r="F123" s="226"/>
      <c r="G123" s="235"/>
    </row>
    <row r="124" spans="1:9" ht="24" customHeight="1" x14ac:dyDescent="0.55000000000000004">
      <c r="A124" s="190" t="s">
        <v>329</v>
      </c>
      <c r="G124" s="235"/>
    </row>
    <row r="125" spans="1:9" s="12" customFormat="1" ht="24" customHeight="1" x14ac:dyDescent="0.55000000000000004">
      <c r="C125" s="619">
        <f>C122-C98</f>
        <v>0</v>
      </c>
      <c r="D125" s="619">
        <f t="shared" ref="D125:F125" si="28">D122-D98</f>
        <v>0</v>
      </c>
      <c r="E125" s="619">
        <f t="shared" si="28"/>
        <v>0</v>
      </c>
      <c r="F125" s="619">
        <f t="shared" si="28"/>
        <v>0</v>
      </c>
      <c r="H125" s="589"/>
    </row>
    <row r="126" spans="1:9" s="12" customFormat="1" ht="24" customHeight="1" x14ac:dyDescent="0.55000000000000004">
      <c r="C126" s="617"/>
      <c r="H126" s="589"/>
    </row>
    <row r="127" spans="1:9" s="12" customFormat="1" ht="24" customHeight="1" x14ac:dyDescent="0.55000000000000004">
      <c r="C127" s="617"/>
      <c r="H127" s="589"/>
    </row>
    <row r="128" spans="1:9" s="12" customFormat="1" ht="24" customHeight="1" x14ac:dyDescent="0.55000000000000004">
      <c r="C128" s="619">
        <f>(C102+C68+C39+C11)*30/100</f>
        <v>6667980</v>
      </c>
      <c r="D128" s="618">
        <f>D102+D68+D39+D11</f>
        <v>6661600</v>
      </c>
      <c r="H128" s="589"/>
    </row>
    <row r="129" spans="3:8" s="12" customFormat="1" x14ac:dyDescent="0.55000000000000004">
      <c r="C129" s="617"/>
      <c r="H129" s="589"/>
    </row>
    <row r="130" spans="3:8" s="12" customFormat="1" x14ac:dyDescent="0.55000000000000004">
      <c r="C130" s="617"/>
      <c r="D130" s="618">
        <f>D128-C128</f>
        <v>-6380</v>
      </c>
      <c r="E130" s="12" t="s">
        <v>398</v>
      </c>
      <c r="H130" s="589"/>
    </row>
  </sheetData>
  <mergeCells count="10">
    <mergeCell ref="A93:A94"/>
    <mergeCell ref="A122:A123"/>
    <mergeCell ref="A27:A28"/>
    <mergeCell ref="A1:F1"/>
    <mergeCell ref="A5:A6"/>
    <mergeCell ref="C5:C6"/>
    <mergeCell ref="D5:D6"/>
    <mergeCell ref="E5:E6"/>
    <mergeCell ref="F5:F6"/>
    <mergeCell ref="A50:A51"/>
  </mergeCells>
  <pageMargins left="0.59055118110236227" right="0.39370078740157483" top="0.51181102362204722" bottom="0.23622047244094491" header="0.31496062992125984" footer="0.11811023622047245"/>
  <pageSetup paperSize="9" scale="70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50"/>
  </sheetPr>
  <dimension ref="A1:I117"/>
  <sheetViews>
    <sheetView topLeftCell="A39" workbookViewId="0">
      <selection activeCell="A39" sqref="A1:A1048576"/>
    </sheetView>
  </sheetViews>
  <sheetFormatPr defaultColWidth="9" defaultRowHeight="24" x14ac:dyDescent="0.55000000000000004"/>
  <cols>
    <col min="1" max="1" width="80.625" style="122" customWidth="1"/>
    <col min="2" max="2" width="8.125" style="122" customWidth="1"/>
    <col min="3" max="3" width="22.625" style="220" customWidth="1"/>
    <col min="4" max="6" width="22.625" style="122" customWidth="1"/>
    <col min="7" max="7" width="3" style="122" customWidth="1"/>
    <col min="8" max="8" width="13.375" style="589" customWidth="1"/>
    <col min="9" max="9" width="12.75" style="12" customWidth="1"/>
    <col min="10" max="18" width="39.375" style="122" customWidth="1"/>
    <col min="19" max="16384" width="9" style="122"/>
  </cols>
  <sheetData>
    <row r="1" spans="1:9" ht="23.1" customHeight="1" x14ac:dyDescent="0.55000000000000004">
      <c r="A1" s="672" t="s">
        <v>411</v>
      </c>
      <c r="B1" s="672"/>
      <c r="C1" s="672"/>
      <c r="D1" s="672"/>
      <c r="E1" s="672"/>
      <c r="F1" s="672"/>
      <c r="G1" s="240"/>
    </row>
    <row r="2" spans="1:9" ht="21" customHeight="1" x14ac:dyDescent="0.55000000000000004">
      <c r="A2" s="188" t="s">
        <v>55</v>
      </c>
      <c r="B2" s="188"/>
      <c r="C2" s="189"/>
      <c r="D2" s="188"/>
      <c r="E2" s="188"/>
      <c r="F2" s="188"/>
      <c r="G2" s="188"/>
    </row>
    <row r="3" spans="1:9" ht="21" customHeight="1" x14ac:dyDescent="0.55000000000000004">
      <c r="A3" s="190" t="s">
        <v>181</v>
      </c>
      <c r="B3" s="190"/>
      <c r="C3" s="191"/>
      <c r="E3" s="192"/>
      <c r="F3" s="192" t="s">
        <v>28</v>
      </c>
      <c r="G3" s="192"/>
    </row>
    <row r="4" spans="1:9" ht="11.25" customHeight="1" x14ac:dyDescent="0.55000000000000004">
      <c r="A4" s="190"/>
      <c r="B4" s="190"/>
      <c r="C4" s="191"/>
      <c r="D4" s="192"/>
      <c r="E4" s="192"/>
      <c r="F4" s="192"/>
      <c r="G4" s="192"/>
    </row>
    <row r="5" spans="1:9" ht="23.1" customHeight="1" x14ac:dyDescent="0.5">
      <c r="A5" s="675" t="s">
        <v>13</v>
      </c>
      <c r="B5" s="193" t="s">
        <v>5</v>
      </c>
      <c r="C5" s="677" t="s">
        <v>1</v>
      </c>
      <c r="D5" s="679" t="s">
        <v>414</v>
      </c>
      <c r="E5" s="679" t="s">
        <v>415</v>
      </c>
      <c r="F5" s="679" t="s">
        <v>416</v>
      </c>
      <c r="G5" s="526"/>
      <c r="H5" s="612" t="s">
        <v>255</v>
      </c>
      <c r="I5" s="613" t="s">
        <v>381</v>
      </c>
    </row>
    <row r="6" spans="1:9" ht="23.1" customHeight="1" x14ac:dyDescent="0.2">
      <c r="A6" s="676"/>
      <c r="B6" s="194" t="s">
        <v>3</v>
      </c>
      <c r="C6" s="678"/>
      <c r="D6" s="671"/>
      <c r="E6" s="671"/>
      <c r="F6" s="671"/>
      <c r="G6" s="240"/>
      <c r="H6" s="614"/>
      <c r="I6" s="298"/>
    </row>
    <row r="7" spans="1:9" ht="23.1" customHeight="1" x14ac:dyDescent="0.55000000000000004">
      <c r="A7" s="195" t="s">
        <v>194</v>
      </c>
      <c r="B7" s="196" t="s">
        <v>2</v>
      </c>
      <c r="C7" s="197">
        <f>SUM(D7:F7)</f>
        <v>2884500</v>
      </c>
      <c r="D7" s="198">
        <f>D9</f>
        <v>890800</v>
      </c>
      <c r="E7" s="198">
        <f>E9</f>
        <v>1324700</v>
      </c>
      <c r="F7" s="198">
        <f>F9</f>
        <v>669000</v>
      </c>
      <c r="G7" s="240"/>
    </row>
    <row r="8" spans="1:9" ht="23.1" customHeight="1" x14ac:dyDescent="0.55000000000000004">
      <c r="A8" s="195"/>
      <c r="B8" s="196" t="s">
        <v>3</v>
      </c>
      <c r="C8" s="197"/>
      <c r="D8" s="198"/>
      <c r="E8" s="198"/>
      <c r="F8" s="198"/>
      <c r="G8" s="240"/>
    </row>
    <row r="9" spans="1:9" ht="23.1" customHeight="1" x14ac:dyDescent="0.55000000000000004">
      <c r="A9" s="199" t="s">
        <v>351</v>
      </c>
      <c r="B9" s="200" t="s">
        <v>2</v>
      </c>
      <c r="C9" s="645">
        <f>SUM(D9:F9)</f>
        <v>2884500</v>
      </c>
      <c r="D9" s="644">
        <f>D11</f>
        <v>890800</v>
      </c>
      <c r="E9" s="644">
        <f t="shared" ref="E9:F9" si="0">E11</f>
        <v>1324700</v>
      </c>
      <c r="F9" s="644">
        <f t="shared" si="0"/>
        <v>669000</v>
      </c>
      <c r="G9" s="240"/>
      <c r="H9" s="589">
        <f>F9-2884500</f>
        <v>-2215500</v>
      </c>
    </row>
    <row r="10" spans="1:9" ht="23.1" customHeight="1" x14ac:dyDescent="0.55000000000000004">
      <c r="A10" s="230"/>
      <c r="B10" s="200" t="s">
        <v>3</v>
      </c>
      <c r="C10" s="201"/>
      <c r="D10" s="202"/>
      <c r="E10" s="202"/>
      <c r="F10" s="202"/>
      <c r="G10" s="240"/>
    </row>
    <row r="11" spans="1:9" ht="23.1" customHeight="1" x14ac:dyDescent="0.55000000000000004">
      <c r="A11" s="205" t="s">
        <v>338</v>
      </c>
      <c r="B11" s="246" t="s">
        <v>2</v>
      </c>
      <c r="C11" s="248">
        <f>SUM(C15:C23)</f>
        <v>2884500</v>
      </c>
      <c r="D11" s="248">
        <f>SUM(D15:D23)</f>
        <v>890800</v>
      </c>
      <c r="E11" s="248">
        <f>SUM(E15:E23)</f>
        <v>1324700</v>
      </c>
      <c r="F11" s="248">
        <f>SUM(F15:F23)</f>
        <v>669000</v>
      </c>
      <c r="G11" s="240"/>
    </row>
    <row r="12" spans="1:9" ht="23.1" customHeight="1" x14ac:dyDescent="0.55000000000000004">
      <c r="A12" s="205"/>
      <c r="B12" s="241" t="s">
        <v>3</v>
      </c>
      <c r="C12" s="243"/>
      <c r="D12" s="243"/>
      <c r="E12" s="243"/>
      <c r="F12" s="243"/>
      <c r="G12" s="240"/>
    </row>
    <row r="13" spans="1:9" ht="23.1" customHeight="1" x14ac:dyDescent="0.55000000000000004">
      <c r="A13" s="206" t="s">
        <v>38</v>
      </c>
      <c r="B13" s="241"/>
      <c r="C13" s="243"/>
      <c r="D13" s="247"/>
      <c r="E13" s="247"/>
      <c r="F13" s="247"/>
      <c r="G13" s="240"/>
    </row>
    <row r="14" spans="1:9" ht="23.1" customHeight="1" x14ac:dyDescent="0.55000000000000004">
      <c r="A14" s="207" t="s">
        <v>9</v>
      </c>
      <c r="B14" s="241"/>
      <c r="C14" s="243"/>
      <c r="D14" s="247"/>
      <c r="E14" s="247"/>
      <c r="F14" s="247"/>
      <c r="G14" s="240"/>
    </row>
    <row r="15" spans="1:9" ht="23.1" customHeight="1" x14ac:dyDescent="0.55000000000000004">
      <c r="A15" s="208" t="s">
        <v>262</v>
      </c>
      <c r="B15" s="241" t="s">
        <v>2</v>
      </c>
      <c r="C15" s="243">
        <f>SUM(D15:F15)</f>
        <v>2631000</v>
      </c>
      <c r="D15" s="255">
        <v>762000</v>
      </c>
      <c r="E15" s="255">
        <v>1200000</v>
      </c>
      <c r="F15" s="255">
        <v>669000</v>
      </c>
      <c r="G15" s="240"/>
      <c r="H15" s="589">
        <v>2631000</v>
      </c>
      <c r="I15" s="615">
        <f t="shared" ref="I15:I29" si="1">H15-C15</f>
        <v>0</v>
      </c>
    </row>
    <row r="16" spans="1:9" ht="23.1" customHeight="1" x14ac:dyDescent="0.55000000000000004">
      <c r="A16" s="207" t="s">
        <v>10</v>
      </c>
      <c r="B16" s="241"/>
      <c r="C16" s="243"/>
      <c r="D16" s="247"/>
      <c r="E16" s="247"/>
      <c r="F16" s="247"/>
      <c r="G16" s="240"/>
      <c r="I16" s="615">
        <f t="shared" si="1"/>
        <v>0</v>
      </c>
    </row>
    <row r="17" spans="1:9" ht="23.1" customHeight="1" x14ac:dyDescent="0.55000000000000004">
      <c r="A17" s="208" t="s">
        <v>264</v>
      </c>
      <c r="B17" s="241" t="s">
        <v>2</v>
      </c>
      <c r="C17" s="243">
        <f>SUM(D17:F17)</f>
        <v>22000</v>
      </c>
      <c r="D17" s="255"/>
      <c r="E17" s="255">
        <v>22000</v>
      </c>
      <c r="F17" s="255"/>
      <c r="G17" s="240"/>
      <c r="H17" s="589">
        <v>22000</v>
      </c>
      <c r="I17" s="615">
        <f t="shared" si="1"/>
        <v>0</v>
      </c>
    </row>
    <row r="18" spans="1:9" ht="23.1" customHeight="1" x14ac:dyDescent="0.55000000000000004">
      <c r="A18" s="207" t="s">
        <v>11</v>
      </c>
      <c r="B18" s="241"/>
      <c r="C18" s="243"/>
      <c r="D18" s="254"/>
      <c r="E18" s="254"/>
      <c r="F18" s="254"/>
      <c r="G18" s="240"/>
      <c r="I18" s="615">
        <f t="shared" si="1"/>
        <v>0</v>
      </c>
    </row>
    <row r="19" spans="1:9" ht="23.1" hidden="1" customHeight="1" x14ac:dyDescent="0.55000000000000004">
      <c r="A19" s="208" t="s">
        <v>266</v>
      </c>
      <c r="B19" s="461" t="s">
        <v>2</v>
      </c>
      <c r="C19" s="251">
        <f t="shared" ref="C19" si="2">SUM(D19:F19)</f>
        <v>0</v>
      </c>
      <c r="D19" s="244"/>
      <c r="E19" s="244"/>
      <c r="F19" s="244"/>
      <c r="G19" s="240"/>
      <c r="I19" s="615">
        <f t="shared" si="1"/>
        <v>0</v>
      </c>
    </row>
    <row r="20" spans="1:9" ht="23.1" customHeight="1" x14ac:dyDescent="0.55000000000000004">
      <c r="A20" s="208" t="s">
        <v>436</v>
      </c>
      <c r="B20" s="245" t="s">
        <v>2</v>
      </c>
      <c r="C20" s="256">
        <f>SUM(D20:F20)</f>
        <v>68700</v>
      </c>
      <c r="D20" s="453"/>
      <c r="E20" s="453">
        <v>68700</v>
      </c>
      <c r="F20" s="453"/>
      <c r="G20" s="240"/>
      <c r="H20" s="589">
        <v>68700</v>
      </c>
      <c r="I20" s="615">
        <f t="shared" si="1"/>
        <v>0</v>
      </c>
    </row>
    <row r="21" spans="1:9" ht="23.1" customHeight="1" x14ac:dyDescent="0.55000000000000004">
      <c r="A21" s="208" t="s">
        <v>267</v>
      </c>
      <c r="B21" s="241" t="s">
        <v>2</v>
      </c>
      <c r="C21" s="243">
        <f>SUM(D21:F21)</f>
        <v>34000</v>
      </c>
      <c r="D21" s="255"/>
      <c r="E21" s="244">
        <v>34000</v>
      </c>
      <c r="F21" s="255"/>
      <c r="G21" s="240"/>
      <c r="H21" s="589">
        <v>34000</v>
      </c>
      <c r="I21" s="615">
        <f t="shared" si="1"/>
        <v>0</v>
      </c>
    </row>
    <row r="22" spans="1:9" ht="23.1" customHeight="1" x14ac:dyDescent="0.55000000000000004">
      <c r="A22" s="454" t="s">
        <v>269</v>
      </c>
      <c r="B22" s="241" t="s">
        <v>2</v>
      </c>
      <c r="C22" s="243">
        <f>SUM(D22:F22)</f>
        <v>70600</v>
      </c>
      <c r="D22" s="255">
        <v>70600</v>
      </c>
      <c r="E22" s="255"/>
      <c r="F22" s="255"/>
      <c r="G22" s="240"/>
      <c r="H22" s="589">
        <v>70600</v>
      </c>
      <c r="I22" s="615">
        <f t="shared" si="1"/>
        <v>0</v>
      </c>
    </row>
    <row r="23" spans="1:9" ht="23.1" customHeight="1" x14ac:dyDescent="0.55000000000000004">
      <c r="A23" s="520" t="s">
        <v>333</v>
      </c>
      <c r="B23" s="236" t="s">
        <v>2</v>
      </c>
      <c r="C23" s="237">
        <f t="shared" ref="C23" si="3">SUM(D23:F23)</f>
        <v>58200</v>
      </c>
      <c r="D23" s="211">
        <v>58200</v>
      </c>
      <c r="E23" s="211"/>
      <c r="F23" s="211"/>
      <c r="G23" s="240"/>
      <c r="H23" s="589">
        <v>58200</v>
      </c>
      <c r="I23" s="615">
        <f t="shared" si="1"/>
        <v>0</v>
      </c>
    </row>
    <row r="24" spans="1:9" ht="23.1" customHeight="1" x14ac:dyDescent="0.55000000000000004">
      <c r="A24" s="468" t="s">
        <v>365</v>
      </c>
      <c r="B24" s="196" t="s">
        <v>2</v>
      </c>
      <c r="C24" s="197">
        <f>SUM(D24:F24)</f>
        <v>2884500</v>
      </c>
      <c r="D24" s="197">
        <f>D7</f>
        <v>890800</v>
      </c>
      <c r="E24" s="197">
        <f>E7</f>
        <v>1324700</v>
      </c>
      <c r="F24" s="214">
        <f>F7</f>
        <v>669000</v>
      </c>
      <c r="G24" s="240"/>
      <c r="I24" s="615"/>
    </row>
    <row r="25" spans="1:9" ht="23.1" customHeight="1" x14ac:dyDescent="0.55000000000000004">
      <c r="A25" s="495"/>
      <c r="B25" s="196" t="s">
        <v>3</v>
      </c>
      <c r="C25" s="197"/>
      <c r="D25" s="198"/>
      <c r="E25" s="198"/>
      <c r="F25" s="198"/>
      <c r="G25" s="240"/>
      <c r="I25" s="615">
        <f t="shared" si="1"/>
        <v>0</v>
      </c>
    </row>
    <row r="26" spans="1:9" ht="23.1" customHeight="1" x14ac:dyDescent="0.55000000000000004">
      <c r="A26" s="195" t="s">
        <v>366</v>
      </c>
      <c r="B26" s="196" t="s">
        <v>2</v>
      </c>
      <c r="C26" s="197">
        <f>SUM(D26:F26)</f>
        <v>0</v>
      </c>
      <c r="D26" s="519">
        <v>0</v>
      </c>
      <c r="E26" s="519">
        <v>0</v>
      </c>
      <c r="F26" s="519">
        <v>0</v>
      </c>
      <c r="G26" s="240"/>
      <c r="I26" s="615">
        <f t="shared" si="1"/>
        <v>0</v>
      </c>
    </row>
    <row r="27" spans="1:9" ht="23.1" customHeight="1" x14ac:dyDescent="0.55000000000000004">
      <c r="A27" s="495"/>
      <c r="B27" s="196" t="s">
        <v>3</v>
      </c>
      <c r="C27" s="518"/>
      <c r="D27" s="519"/>
      <c r="E27" s="519"/>
      <c r="F27" s="519"/>
      <c r="G27" s="240"/>
      <c r="I27" s="615">
        <f t="shared" si="1"/>
        <v>0</v>
      </c>
    </row>
    <row r="28" spans="1:9" ht="23.1" customHeight="1" x14ac:dyDescent="0.55000000000000004">
      <c r="A28" s="673" t="s">
        <v>1</v>
      </c>
      <c r="B28" s="225" t="s">
        <v>2</v>
      </c>
      <c r="C28" s="226">
        <f>SUM(D28:F28)</f>
        <v>2884500</v>
      </c>
      <c r="D28" s="226">
        <f>D24+D26</f>
        <v>890800</v>
      </c>
      <c r="E28" s="226">
        <f t="shared" ref="E28:F28" si="4">E24+E26</f>
        <v>1324700</v>
      </c>
      <c r="F28" s="226">
        <f t="shared" si="4"/>
        <v>669000</v>
      </c>
      <c r="G28" s="240"/>
      <c r="I28" s="615"/>
    </row>
    <row r="29" spans="1:9" ht="23.1" customHeight="1" x14ac:dyDescent="0.55000000000000004">
      <c r="A29" s="674"/>
      <c r="B29" s="225" t="s">
        <v>3</v>
      </c>
      <c r="C29" s="214"/>
      <c r="D29" s="215"/>
      <c r="E29" s="215"/>
      <c r="F29" s="215"/>
      <c r="G29" s="240"/>
      <c r="I29" s="615">
        <f t="shared" si="1"/>
        <v>0</v>
      </c>
    </row>
    <row r="30" spans="1:9" ht="30" customHeight="1" x14ac:dyDescent="0.55000000000000004">
      <c r="A30" s="190" t="s">
        <v>228</v>
      </c>
      <c r="B30" s="589"/>
      <c r="C30" s="589"/>
      <c r="D30" s="589"/>
      <c r="E30" s="589"/>
      <c r="F30" s="589"/>
      <c r="G30" s="589"/>
      <c r="I30" s="615"/>
    </row>
    <row r="31" spans="1:9" ht="30" customHeight="1" x14ac:dyDescent="0.55000000000000004">
      <c r="A31" s="190"/>
      <c r="B31" s="589"/>
      <c r="C31" s="589"/>
      <c r="D31" s="589"/>
      <c r="E31" s="589"/>
      <c r="F31" s="589"/>
      <c r="G31" s="589"/>
      <c r="I31" s="615"/>
    </row>
    <row r="32" spans="1:9" ht="30" customHeight="1" x14ac:dyDescent="0.55000000000000004">
      <c r="A32" s="589"/>
      <c r="B32" s="589"/>
      <c r="C32" s="589">
        <f>C28-C7</f>
        <v>0</v>
      </c>
      <c r="D32" s="589">
        <f t="shared" ref="D32:F32" si="5">D28-D7</f>
        <v>0</v>
      </c>
      <c r="E32" s="589">
        <f t="shared" si="5"/>
        <v>0</v>
      </c>
      <c r="F32" s="589">
        <f t="shared" si="5"/>
        <v>0</v>
      </c>
      <c r="G32" s="589"/>
      <c r="I32" s="615"/>
    </row>
    <row r="33" spans="1:9" ht="30" customHeight="1" x14ac:dyDescent="0.55000000000000004">
      <c r="A33" s="589"/>
      <c r="B33" s="589"/>
      <c r="C33" s="589"/>
      <c r="D33" s="589"/>
      <c r="E33" s="589"/>
      <c r="F33" s="589"/>
      <c r="G33" s="589"/>
      <c r="I33" s="615"/>
    </row>
    <row r="34" spans="1:9" ht="30" customHeight="1" x14ac:dyDescent="0.55000000000000004">
      <c r="A34" s="589"/>
      <c r="B34" s="589"/>
      <c r="C34" s="589"/>
      <c r="D34" s="589"/>
      <c r="E34" s="589"/>
      <c r="F34" s="589"/>
      <c r="G34" s="589"/>
      <c r="I34" s="615"/>
    </row>
    <row r="35" spans="1:9" ht="23.1" customHeight="1" x14ac:dyDescent="0.55000000000000004">
      <c r="A35" s="468" t="s">
        <v>194</v>
      </c>
      <c r="B35" s="587" t="s">
        <v>2</v>
      </c>
      <c r="C35" s="266">
        <f>SUM(D35:F35)</f>
        <v>151900</v>
      </c>
      <c r="D35" s="198">
        <f>D37</f>
        <v>20000</v>
      </c>
      <c r="E35" s="198">
        <f>E37</f>
        <v>88000</v>
      </c>
      <c r="F35" s="198">
        <f>F37</f>
        <v>43900</v>
      </c>
      <c r="G35" s="240"/>
    </row>
    <row r="36" spans="1:9" ht="23.1" customHeight="1" x14ac:dyDescent="0.55000000000000004">
      <c r="A36" s="495"/>
      <c r="B36" s="196" t="s">
        <v>3</v>
      </c>
      <c r="C36" s="197"/>
      <c r="D36" s="198"/>
      <c r="E36" s="198"/>
      <c r="F36" s="198"/>
      <c r="G36" s="240"/>
    </row>
    <row r="37" spans="1:9" ht="23.1" customHeight="1" x14ac:dyDescent="0.55000000000000004">
      <c r="A37" s="199" t="s">
        <v>384</v>
      </c>
      <c r="B37" s="200" t="s">
        <v>2</v>
      </c>
      <c r="C37" s="645">
        <f>SUM(D37:F37)</f>
        <v>151900</v>
      </c>
      <c r="D37" s="644">
        <f>D39</f>
        <v>20000</v>
      </c>
      <c r="E37" s="644">
        <f t="shared" ref="E37:F37" si="6">E39</f>
        <v>88000</v>
      </c>
      <c r="F37" s="644">
        <f t="shared" si="6"/>
        <v>43900</v>
      </c>
      <c r="G37" s="240"/>
      <c r="H37" s="589">
        <f>F37-151900</f>
        <v>-108000</v>
      </c>
    </row>
    <row r="38" spans="1:9" ht="23.1" customHeight="1" x14ac:dyDescent="0.55000000000000004">
      <c r="A38" s="230"/>
      <c r="B38" s="200" t="s">
        <v>3</v>
      </c>
      <c r="C38" s="201"/>
      <c r="D38" s="202"/>
      <c r="E38" s="202"/>
      <c r="F38" s="202"/>
      <c r="G38" s="240"/>
    </row>
    <row r="39" spans="1:9" ht="23.1" customHeight="1" x14ac:dyDescent="0.55000000000000004">
      <c r="A39" s="205" t="s">
        <v>338</v>
      </c>
      <c r="B39" s="246" t="s">
        <v>2</v>
      </c>
      <c r="C39" s="248">
        <f>SUM(D39:F39)</f>
        <v>151900</v>
      </c>
      <c r="D39" s="248">
        <f>SUM(D43:D47)</f>
        <v>20000</v>
      </c>
      <c r="E39" s="248">
        <f>SUM(E43:E47)</f>
        <v>88000</v>
      </c>
      <c r="F39" s="248">
        <f>SUM(F43:F47)</f>
        <v>43900</v>
      </c>
      <c r="G39" s="240"/>
    </row>
    <row r="40" spans="1:9" ht="23.1" customHeight="1" x14ac:dyDescent="0.55000000000000004">
      <c r="A40" s="205"/>
      <c r="B40" s="241" t="s">
        <v>3</v>
      </c>
      <c r="C40" s="243"/>
      <c r="D40" s="243"/>
      <c r="E40" s="243"/>
      <c r="F40" s="243"/>
      <c r="G40" s="240"/>
    </row>
    <row r="41" spans="1:9" ht="23.1" customHeight="1" x14ac:dyDescent="0.55000000000000004">
      <c r="A41" s="206" t="s">
        <v>38</v>
      </c>
      <c r="B41" s="241"/>
      <c r="C41" s="243"/>
      <c r="D41" s="247"/>
      <c r="E41" s="247"/>
      <c r="F41" s="247"/>
      <c r="G41" s="240"/>
    </row>
    <row r="42" spans="1:9" ht="23.1" customHeight="1" x14ac:dyDescent="0.55000000000000004">
      <c r="A42" s="207" t="s">
        <v>9</v>
      </c>
      <c r="B42" s="241"/>
      <c r="C42" s="243"/>
      <c r="D42" s="247"/>
      <c r="E42" s="247"/>
      <c r="F42" s="247"/>
      <c r="G42" s="240"/>
    </row>
    <row r="43" spans="1:9" ht="23.1" customHeight="1" x14ac:dyDescent="0.55000000000000004">
      <c r="A43" s="208" t="s">
        <v>277</v>
      </c>
      <c r="B43" s="241" t="s">
        <v>2</v>
      </c>
      <c r="C43" s="243">
        <f>SUM(D43:F43)</f>
        <v>32200</v>
      </c>
      <c r="D43" s="255"/>
      <c r="E43" s="255">
        <v>20000</v>
      </c>
      <c r="F43" s="255">
        <v>12200</v>
      </c>
      <c r="G43" s="240"/>
      <c r="H43" s="589">
        <v>32200</v>
      </c>
      <c r="I43" s="615">
        <f t="shared" ref="I43:I95" si="7">H43-C43</f>
        <v>0</v>
      </c>
    </row>
    <row r="44" spans="1:9" ht="23.1" customHeight="1" x14ac:dyDescent="0.55000000000000004">
      <c r="A44" s="207" t="s">
        <v>10</v>
      </c>
      <c r="B44" s="241"/>
      <c r="C44" s="243"/>
      <c r="D44" s="247"/>
      <c r="E44" s="247"/>
      <c r="F44" s="247"/>
      <c r="G44" s="240"/>
      <c r="I44" s="615">
        <f t="shared" si="7"/>
        <v>0</v>
      </c>
    </row>
    <row r="45" spans="1:9" ht="23.1" customHeight="1" x14ac:dyDescent="0.55000000000000004">
      <c r="A45" s="208" t="s">
        <v>263</v>
      </c>
      <c r="B45" s="241" t="s">
        <v>2</v>
      </c>
      <c r="C45" s="243">
        <f>SUM(D45:F45)</f>
        <v>71700</v>
      </c>
      <c r="D45" s="255"/>
      <c r="E45" s="255">
        <v>40000</v>
      </c>
      <c r="F45" s="255">
        <v>31700</v>
      </c>
      <c r="G45" s="240"/>
      <c r="H45" s="589">
        <v>71700</v>
      </c>
      <c r="I45" s="615">
        <f t="shared" si="7"/>
        <v>0</v>
      </c>
    </row>
    <row r="46" spans="1:9" ht="23.1" customHeight="1" x14ac:dyDescent="0.55000000000000004">
      <c r="A46" s="207" t="s">
        <v>11</v>
      </c>
      <c r="B46" s="241"/>
      <c r="C46" s="243"/>
      <c r="D46" s="254"/>
      <c r="E46" s="254"/>
      <c r="F46" s="254"/>
      <c r="G46" s="240"/>
      <c r="I46" s="615">
        <f t="shared" si="7"/>
        <v>0</v>
      </c>
    </row>
    <row r="47" spans="1:9" ht="23.1" customHeight="1" x14ac:dyDescent="0.55000000000000004">
      <c r="A47" s="223" t="s">
        <v>268</v>
      </c>
      <c r="B47" s="449" t="s">
        <v>2</v>
      </c>
      <c r="C47" s="451">
        <f t="shared" ref="C47" si="8">SUM(D47:F47)</f>
        <v>48000</v>
      </c>
      <c r="D47" s="452">
        <v>20000</v>
      </c>
      <c r="E47" s="452">
        <v>28000</v>
      </c>
      <c r="F47" s="452"/>
      <c r="G47" s="240"/>
      <c r="H47" s="589">
        <v>48000</v>
      </c>
      <c r="I47" s="615">
        <f t="shared" si="7"/>
        <v>0</v>
      </c>
    </row>
    <row r="48" spans="1:9" ht="23.1" customHeight="1" x14ac:dyDescent="0.55000000000000004">
      <c r="A48" s="468" t="s">
        <v>365</v>
      </c>
      <c r="B48" s="196" t="s">
        <v>2</v>
      </c>
      <c r="C48" s="197">
        <f>SUM(D48:F48)</f>
        <v>151900</v>
      </c>
      <c r="D48" s="197">
        <f>D39</f>
        <v>20000</v>
      </c>
      <c r="E48" s="197">
        <f t="shared" ref="E48:F48" si="9">E39</f>
        <v>88000</v>
      </c>
      <c r="F48" s="226">
        <f t="shared" si="9"/>
        <v>43900</v>
      </c>
      <c r="G48" s="240"/>
      <c r="I48" s="615">
        <f t="shared" si="7"/>
        <v>-151900</v>
      </c>
    </row>
    <row r="49" spans="1:9" ht="23.1" customHeight="1" x14ac:dyDescent="0.55000000000000004">
      <c r="A49" s="495"/>
      <c r="B49" s="196" t="s">
        <v>3</v>
      </c>
      <c r="C49" s="197"/>
      <c r="D49" s="198"/>
      <c r="E49" s="198"/>
      <c r="F49" s="198"/>
      <c r="G49" s="240"/>
      <c r="I49" s="615">
        <f t="shared" si="7"/>
        <v>0</v>
      </c>
    </row>
    <row r="50" spans="1:9" ht="23.1" customHeight="1" x14ac:dyDescent="0.55000000000000004">
      <c r="A50" s="195" t="s">
        <v>366</v>
      </c>
      <c r="B50" s="196" t="s">
        <v>2</v>
      </c>
      <c r="C50" s="197">
        <f>SUM(D50:F50)</f>
        <v>0</v>
      </c>
      <c r="D50" s="519">
        <v>0</v>
      </c>
      <c r="E50" s="519">
        <v>0</v>
      </c>
      <c r="F50" s="519">
        <v>0</v>
      </c>
      <c r="G50" s="240"/>
      <c r="I50" s="615">
        <f t="shared" si="7"/>
        <v>0</v>
      </c>
    </row>
    <row r="51" spans="1:9" ht="23.1" customHeight="1" x14ac:dyDescent="0.55000000000000004">
      <c r="A51" s="495"/>
      <c r="B51" s="196" t="s">
        <v>3</v>
      </c>
      <c r="C51" s="518"/>
      <c r="D51" s="519"/>
      <c r="E51" s="519"/>
      <c r="F51" s="519"/>
      <c r="G51" s="240"/>
      <c r="I51" s="615">
        <f t="shared" si="7"/>
        <v>0</v>
      </c>
    </row>
    <row r="52" spans="1:9" ht="23.1" customHeight="1" x14ac:dyDescent="0.55000000000000004">
      <c r="A52" s="673" t="s">
        <v>1</v>
      </c>
      <c r="B52" s="225" t="s">
        <v>2</v>
      </c>
      <c r="C52" s="226">
        <f>SUM(D52:F52)</f>
        <v>151900</v>
      </c>
      <c r="D52" s="226">
        <f>D48+D50</f>
        <v>20000</v>
      </c>
      <c r="E52" s="226">
        <f t="shared" ref="E52:F52" si="10">E48+E50</f>
        <v>88000</v>
      </c>
      <c r="F52" s="226">
        <f t="shared" si="10"/>
        <v>43900</v>
      </c>
      <c r="G52" s="240"/>
      <c r="I52" s="615">
        <f t="shared" si="7"/>
        <v>-151900</v>
      </c>
    </row>
    <row r="53" spans="1:9" ht="23.1" customHeight="1" x14ac:dyDescent="0.55000000000000004">
      <c r="A53" s="674"/>
      <c r="B53" s="225" t="s">
        <v>3</v>
      </c>
      <c r="C53" s="214"/>
      <c r="D53" s="215"/>
      <c r="E53" s="215"/>
      <c r="F53" s="215"/>
      <c r="G53" s="240"/>
      <c r="I53" s="615">
        <f t="shared" si="7"/>
        <v>0</v>
      </c>
    </row>
    <row r="54" spans="1:9" ht="23.1" customHeight="1" x14ac:dyDescent="0.55000000000000004">
      <c r="A54" s="190" t="s">
        <v>228</v>
      </c>
      <c r="B54" s="216"/>
      <c r="C54" s="217"/>
      <c r="D54" s="218"/>
      <c r="E54" s="219"/>
      <c r="F54" s="219"/>
      <c r="G54" s="219"/>
      <c r="I54" s="615">
        <f t="shared" si="7"/>
        <v>0</v>
      </c>
    </row>
    <row r="55" spans="1:9" ht="23.1" customHeight="1" x14ac:dyDescent="0.55000000000000004">
      <c r="C55" s="315">
        <f>C52-C35</f>
        <v>0</v>
      </c>
      <c r="D55" s="315">
        <f t="shared" ref="D55:F55" si="11">D52-D35</f>
        <v>0</v>
      </c>
      <c r="E55" s="315">
        <f t="shared" si="11"/>
        <v>0</v>
      </c>
      <c r="F55" s="315">
        <f t="shared" si="11"/>
        <v>0</v>
      </c>
      <c r="I55" s="615">
        <f t="shared" si="7"/>
        <v>0</v>
      </c>
    </row>
    <row r="56" spans="1:9" ht="23.1" customHeight="1" x14ac:dyDescent="0.55000000000000004">
      <c r="C56" s="315"/>
      <c r="D56" s="315"/>
      <c r="E56" s="315"/>
      <c r="F56" s="315"/>
      <c r="I56" s="615"/>
    </row>
    <row r="57" spans="1:9" ht="23.1" customHeight="1" x14ac:dyDescent="0.55000000000000004">
      <c r="C57" s="315"/>
      <c r="D57" s="315"/>
      <c r="E57" s="315"/>
      <c r="F57" s="315"/>
      <c r="I57" s="615"/>
    </row>
    <row r="58" spans="1:9" ht="23.1" customHeight="1" x14ac:dyDescent="0.55000000000000004">
      <c r="C58" s="315"/>
      <c r="D58" s="315"/>
      <c r="E58" s="315"/>
      <c r="F58" s="315"/>
      <c r="I58" s="615"/>
    </row>
    <row r="59" spans="1:9" ht="23.1" customHeight="1" x14ac:dyDescent="0.55000000000000004">
      <c r="C59" s="315"/>
      <c r="D59" s="315"/>
      <c r="E59" s="315"/>
      <c r="F59" s="315"/>
      <c r="I59" s="615"/>
    </row>
    <row r="60" spans="1:9" ht="23.1" customHeight="1" x14ac:dyDescent="0.55000000000000004">
      <c r="C60" s="315"/>
      <c r="D60" s="315"/>
      <c r="E60" s="315"/>
      <c r="F60" s="315"/>
      <c r="I60" s="615"/>
    </row>
    <row r="61" spans="1:9" ht="23.1" customHeight="1" x14ac:dyDescent="0.55000000000000004">
      <c r="C61" s="315"/>
      <c r="D61" s="315"/>
      <c r="E61" s="315"/>
      <c r="F61" s="315"/>
      <c r="I61" s="615"/>
    </row>
    <row r="62" spans="1:9" ht="23.1" customHeight="1" x14ac:dyDescent="0.55000000000000004">
      <c r="C62" s="315"/>
      <c r="D62" s="315"/>
      <c r="E62" s="315"/>
      <c r="F62" s="315"/>
      <c r="I62" s="615"/>
    </row>
    <row r="63" spans="1:9" s="12" customFormat="1" ht="23.1" customHeight="1" x14ac:dyDescent="0.55000000000000004">
      <c r="C63" s="619">
        <f>(C39+C11)*30/100</f>
        <v>910920</v>
      </c>
      <c r="D63" s="618">
        <f>D11</f>
        <v>890800</v>
      </c>
      <c r="H63" s="589"/>
      <c r="I63" s="615">
        <f t="shared" si="7"/>
        <v>-910920</v>
      </c>
    </row>
    <row r="64" spans="1:9" s="12" customFormat="1" ht="23.1" customHeight="1" x14ac:dyDescent="0.55000000000000004">
      <c r="C64" s="617"/>
      <c r="H64" s="589"/>
      <c r="I64" s="615">
        <f t="shared" si="7"/>
        <v>0</v>
      </c>
    </row>
    <row r="65" spans="1:9" s="12" customFormat="1" ht="23.1" customHeight="1" x14ac:dyDescent="0.55000000000000004">
      <c r="C65" s="617"/>
      <c r="H65" s="589"/>
      <c r="I65" s="615">
        <f t="shared" si="7"/>
        <v>0</v>
      </c>
    </row>
    <row r="66" spans="1:9" s="12" customFormat="1" ht="23.1" customHeight="1" x14ac:dyDescent="0.55000000000000004">
      <c r="C66" s="617"/>
      <c r="H66" s="589"/>
      <c r="I66" s="615">
        <f t="shared" si="7"/>
        <v>0</v>
      </c>
    </row>
    <row r="67" spans="1:9" s="12" customFormat="1" ht="23.1" customHeight="1" x14ac:dyDescent="0.55000000000000004">
      <c r="C67" s="617"/>
      <c r="H67" s="589"/>
      <c r="I67" s="615">
        <f t="shared" si="7"/>
        <v>0</v>
      </c>
    </row>
    <row r="68" spans="1:9" s="12" customFormat="1" ht="23.1" customHeight="1" x14ac:dyDescent="0.55000000000000004">
      <c r="C68" s="617"/>
      <c r="H68" s="589"/>
      <c r="I68" s="615">
        <f t="shared" si="7"/>
        <v>0</v>
      </c>
    </row>
    <row r="69" spans="1:9" s="12" customFormat="1" ht="23.1" customHeight="1" x14ac:dyDescent="0.55000000000000004">
      <c r="C69" s="617"/>
      <c r="H69" s="589"/>
      <c r="I69" s="615">
        <f t="shared" si="7"/>
        <v>0</v>
      </c>
    </row>
    <row r="70" spans="1:9" ht="23.1" customHeight="1" x14ac:dyDescent="0.55000000000000004">
      <c r="I70" s="615">
        <f t="shared" si="7"/>
        <v>0</v>
      </c>
    </row>
    <row r="71" spans="1:9" ht="23.1" customHeight="1" x14ac:dyDescent="0.55000000000000004">
      <c r="I71" s="615">
        <f t="shared" si="7"/>
        <v>0</v>
      </c>
    </row>
    <row r="72" spans="1:9" ht="23.1" customHeight="1" x14ac:dyDescent="0.55000000000000004">
      <c r="I72" s="615">
        <f t="shared" si="7"/>
        <v>0</v>
      </c>
    </row>
    <row r="73" spans="1:9" ht="23.1" customHeight="1" x14ac:dyDescent="0.55000000000000004">
      <c r="I73" s="615">
        <f t="shared" si="7"/>
        <v>0</v>
      </c>
    </row>
    <row r="74" spans="1:9" ht="23.1" customHeight="1" x14ac:dyDescent="0.55000000000000004">
      <c r="I74" s="615">
        <f t="shared" si="7"/>
        <v>0</v>
      </c>
    </row>
    <row r="75" spans="1:9" ht="23.1" customHeight="1" x14ac:dyDescent="0.55000000000000004">
      <c r="I75" s="615">
        <f t="shared" si="7"/>
        <v>0</v>
      </c>
    </row>
    <row r="76" spans="1:9" ht="23.1" customHeight="1" x14ac:dyDescent="0.55000000000000004">
      <c r="I76" s="615">
        <f t="shared" si="7"/>
        <v>0</v>
      </c>
    </row>
    <row r="77" spans="1:9" x14ac:dyDescent="0.55000000000000004">
      <c r="I77" s="615">
        <f t="shared" si="7"/>
        <v>0</v>
      </c>
    </row>
    <row r="78" spans="1:9" hidden="1" x14ac:dyDescent="0.55000000000000004">
      <c r="I78" s="615">
        <f t="shared" si="7"/>
        <v>0</v>
      </c>
    </row>
    <row r="79" spans="1:9" hidden="1" x14ac:dyDescent="0.55000000000000004">
      <c r="A79" s="672" t="s">
        <v>17</v>
      </c>
      <c r="B79" s="672"/>
      <c r="C79" s="672"/>
      <c r="D79" s="672"/>
      <c r="E79" s="672"/>
      <c r="F79" s="672"/>
      <c r="G79" s="240"/>
      <c r="I79" s="615">
        <f t="shared" si="7"/>
        <v>0</v>
      </c>
    </row>
    <row r="80" spans="1:9" hidden="1" x14ac:dyDescent="0.55000000000000004">
      <c r="A80" s="188" t="s">
        <v>55</v>
      </c>
      <c r="B80" s="188"/>
      <c r="C80" s="189"/>
      <c r="D80" s="188"/>
      <c r="E80" s="188"/>
      <c r="F80" s="188"/>
      <c r="G80" s="188"/>
      <c r="I80" s="615">
        <f t="shared" si="7"/>
        <v>0</v>
      </c>
    </row>
    <row r="81" spans="1:9" hidden="1" x14ac:dyDescent="0.55000000000000004">
      <c r="A81" s="190" t="s">
        <v>181</v>
      </c>
      <c r="B81" s="190"/>
      <c r="C81" s="191"/>
      <c r="E81" s="192"/>
      <c r="F81" s="192" t="s">
        <v>28</v>
      </c>
      <c r="G81" s="192"/>
      <c r="I81" s="615">
        <f t="shared" si="7"/>
        <v>0</v>
      </c>
    </row>
    <row r="82" spans="1:9" ht="11.25" hidden="1" customHeight="1" x14ac:dyDescent="0.55000000000000004">
      <c r="A82" s="190"/>
      <c r="B82" s="190"/>
      <c r="C82" s="191"/>
      <c r="D82" s="192"/>
      <c r="E82" s="192"/>
      <c r="F82" s="192"/>
      <c r="G82" s="192"/>
      <c r="I82" s="615">
        <f t="shared" si="7"/>
        <v>0</v>
      </c>
    </row>
    <row r="83" spans="1:9" hidden="1" x14ac:dyDescent="0.55000000000000004">
      <c r="A83" s="675" t="s">
        <v>13</v>
      </c>
      <c r="B83" s="193" t="s">
        <v>5</v>
      </c>
      <c r="C83" s="677" t="s">
        <v>1</v>
      </c>
      <c r="D83" s="679" t="s">
        <v>43</v>
      </c>
      <c r="E83" s="679" t="s">
        <v>44</v>
      </c>
      <c r="F83" s="679" t="s">
        <v>45</v>
      </c>
      <c r="G83" s="526"/>
      <c r="I83" s="615" t="e">
        <f t="shared" si="7"/>
        <v>#VALUE!</v>
      </c>
    </row>
    <row r="84" spans="1:9" hidden="1" x14ac:dyDescent="0.55000000000000004">
      <c r="A84" s="676"/>
      <c r="B84" s="194" t="s">
        <v>3</v>
      </c>
      <c r="C84" s="678"/>
      <c r="D84" s="671"/>
      <c r="E84" s="671"/>
      <c r="F84" s="671"/>
      <c r="G84" s="240"/>
      <c r="I84" s="615">
        <f t="shared" si="7"/>
        <v>0</v>
      </c>
    </row>
    <row r="85" spans="1:9" hidden="1" x14ac:dyDescent="0.55000000000000004">
      <c r="A85" s="195" t="s">
        <v>39</v>
      </c>
      <c r="B85" s="196" t="s">
        <v>2</v>
      </c>
      <c r="C85" s="197">
        <f>SUM(D85:F85)</f>
        <v>0</v>
      </c>
      <c r="D85" s="198">
        <f>D87</f>
        <v>0</v>
      </c>
      <c r="E85" s="198">
        <f>E87</f>
        <v>0</v>
      </c>
      <c r="F85" s="198">
        <f>F87</f>
        <v>0</v>
      </c>
      <c r="G85" s="527"/>
      <c r="I85" s="615">
        <f t="shared" si="7"/>
        <v>0</v>
      </c>
    </row>
    <row r="86" spans="1:9" hidden="1" x14ac:dyDescent="0.55000000000000004">
      <c r="A86" s="195"/>
      <c r="B86" s="196" t="s">
        <v>3</v>
      </c>
      <c r="C86" s="197"/>
      <c r="D86" s="198"/>
      <c r="E86" s="198"/>
      <c r="F86" s="198"/>
      <c r="G86" s="527"/>
      <c r="I86" s="615">
        <f t="shared" si="7"/>
        <v>0</v>
      </c>
    </row>
    <row r="87" spans="1:9" hidden="1" x14ac:dyDescent="0.55000000000000004">
      <c r="A87" s="199" t="s">
        <v>189</v>
      </c>
      <c r="B87" s="200" t="s">
        <v>2</v>
      </c>
      <c r="C87" s="201">
        <f>SUM(D87:F87)</f>
        <v>0</v>
      </c>
      <c r="D87" s="202">
        <f>D89+D94</f>
        <v>0</v>
      </c>
      <c r="E87" s="202">
        <f t="shared" ref="E87:F87" si="12">E89+E94</f>
        <v>0</v>
      </c>
      <c r="F87" s="202">
        <f t="shared" si="12"/>
        <v>0</v>
      </c>
      <c r="G87" s="528"/>
      <c r="I87" s="615">
        <f t="shared" si="7"/>
        <v>0</v>
      </c>
    </row>
    <row r="88" spans="1:9" hidden="1" x14ac:dyDescent="0.55000000000000004">
      <c r="A88" s="203"/>
      <c r="B88" s="200" t="s">
        <v>3</v>
      </c>
      <c r="C88" s="201"/>
      <c r="D88" s="202"/>
      <c r="E88" s="202"/>
      <c r="F88" s="202"/>
      <c r="G88" s="528"/>
      <c r="I88" s="615">
        <f t="shared" si="7"/>
        <v>0</v>
      </c>
    </row>
    <row r="89" spans="1:9" hidden="1" x14ac:dyDescent="0.55000000000000004">
      <c r="A89" s="204" t="s">
        <v>41</v>
      </c>
      <c r="B89" s="246" t="s">
        <v>2</v>
      </c>
      <c r="C89" s="248">
        <f>SUM(C91:C93)</f>
        <v>0</v>
      </c>
      <c r="D89" s="248">
        <f>SUM(D91:D93)</f>
        <v>0</v>
      </c>
      <c r="E89" s="248">
        <f>SUM(E91:E93)</f>
        <v>0</v>
      </c>
      <c r="F89" s="248">
        <f>SUM(F91:F93)</f>
        <v>0</v>
      </c>
      <c r="G89" s="480"/>
      <c r="I89" s="615">
        <f t="shared" si="7"/>
        <v>0</v>
      </c>
    </row>
    <row r="90" spans="1:9" hidden="1" x14ac:dyDescent="0.55000000000000004">
      <c r="A90" s="205"/>
      <c r="B90" s="241" t="s">
        <v>3</v>
      </c>
      <c r="C90" s="243"/>
      <c r="D90" s="243"/>
      <c r="E90" s="243"/>
      <c r="F90" s="243"/>
      <c r="G90" s="480"/>
      <c r="I90" s="615">
        <f t="shared" si="7"/>
        <v>0</v>
      </c>
    </row>
    <row r="91" spans="1:9" hidden="1" x14ac:dyDescent="0.55000000000000004">
      <c r="A91" s="206" t="s">
        <v>18</v>
      </c>
      <c r="B91" s="241"/>
      <c r="C91" s="243"/>
      <c r="D91" s="247"/>
      <c r="E91" s="247"/>
      <c r="F91" s="247"/>
      <c r="G91" s="253"/>
      <c r="I91" s="615">
        <f t="shared" si="7"/>
        <v>0</v>
      </c>
    </row>
    <row r="92" spans="1:9" hidden="1" x14ac:dyDescent="0.55000000000000004">
      <c r="A92" s="207" t="s">
        <v>11</v>
      </c>
      <c r="B92" s="241"/>
      <c r="C92" s="243"/>
      <c r="D92" s="254"/>
      <c r="E92" s="254"/>
      <c r="F92" s="254"/>
      <c r="G92" s="529"/>
      <c r="I92" s="615">
        <f t="shared" si="7"/>
        <v>0</v>
      </c>
    </row>
    <row r="93" spans="1:9" hidden="1" x14ac:dyDescent="0.55000000000000004">
      <c r="A93" s="223" t="s">
        <v>166</v>
      </c>
      <c r="B93" s="236" t="s">
        <v>2</v>
      </c>
      <c r="C93" s="237">
        <f>SUM(D93:F93)</f>
        <v>0</v>
      </c>
      <c r="D93" s="211"/>
      <c r="E93" s="211"/>
      <c r="F93" s="211"/>
      <c r="G93" s="483"/>
      <c r="I93" s="615">
        <f t="shared" si="7"/>
        <v>0</v>
      </c>
    </row>
    <row r="94" spans="1:9" hidden="1" x14ac:dyDescent="0.55000000000000004">
      <c r="A94" s="205" t="s">
        <v>51</v>
      </c>
      <c r="B94" s="246" t="s">
        <v>2</v>
      </c>
      <c r="C94" s="248">
        <f>SUM(C98:C107)</f>
        <v>0</v>
      </c>
      <c r="D94" s="248">
        <f t="shared" ref="D94:F94" si="13">SUM(D98:D107)</f>
        <v>0</v>
      </c>
      <c r="E94" s="248">
        <f t="shared" si="13"/>
        <v>0</v>
      </c>
      <c r="F94" s="248">
        <f t="shared" si="13"/>
        <v>0</v>
      </c>
      <c r="G94" s="480"/>
      <c r="I94" s="615">
        <f t="shared" si="7"/>
        <v>0</v>
      </c>
    </row>
    <row r="95" spans="1:9" hidden="1" x14ac:dyDescent="0.55000000000000004">
      <c r="A95" s="205"/>
      <c r="B95" s="241" t="s">
        <v>3</v>
      </c>
      <c r="C95" s="243"/>
      <c r="D95" s="243"/>
      <c r="E95" s="243"/>
      <c r="F95" s="243"/>
      <c r="G95" s="480"/>
      <c r="I95" s="615">
        <f t="shared" si="7"/>
        <v>0</v>
      </c>
    </row>
    <row r="96" spans="1:9" hidden="1" x14ac:dyDescent="0.55000000000000004">
      <c r="A96" s="206" t="s">
        <v>38</v>
      </c>
      <c r="B96" s="241"/>
      <c r="C96" s="243"/>
      <c r="D96" s="247"/>
      <c r="E96" s="247"/>
      <c r="F96" s="247"/>
      <c r="G96" s="253"/>
    </row>
    <row r="97" spans="1:7" hidden="1" x14ac:dyDescent="0.55000000000000004">
      <c r="A97" s="207" t="s">
        <v>9</v>
      </c>
      <c r="B97" s="241"/>
      <c r="C97" s="243"/>
      <c r="D97" s="247"/>
      <c r="E97" s="247"/>
      <c r="F97" s="247"/>
      <c r="G97" s="253"/>
    </row>
    <row r="98" spans="1:7" hidden="1" x14ac:dyDescent="0.55000000000000004">
      <c r="A98" s="208" t="s">
        <v>160</v>
      </c>
      <c r="B98" s="241" t="s">
        <v>2</v>
      </c>
      <c r="C98" s="243">
        <f>SUM(D98:F98)</f>
        <v>0</v>
      </c>
      <c r="D98" s="255"/>
      <c r="E98" s="255"/>
      <c r="F98" s="255"/>
      <c r="G98" s="483"/>
    </row>
    <row r="99" spans="1:7" hidden="1" x14ac:dyDescent="0.55000000000000004">
      <c r="A99" s="208" t="s">
        <v>168</v>
      </c>
      <c r="B99" s="241" t="s">
        <v>2</v>
      </c>
      <c r="C99" s="243">
        <f>SUM(D99:F99)</f>
        <v>0</v>
      </c>
      <c r="D99" s="255"/>
      <c r="E99" s="255"/>
      <c r="F99" s="255"/>
      <c r="G99" s="483"/>
    </row>
    <row r="100" spans="1:7" hidden="1" x14ac:dyDescent="0.55000000000000004">
      <c r="A100" s="207" t="s">
        <v>10</v>
      </c>
      <c r="B100" s="241"/>
      <c r="C100" s="243"/>
      <c r="D100" s="247"/>
      <c r="E100" s="247"/>
      <c r="F100" s="247"/>
      <c r="G100" s="253"/>
    </row>
    <row r="101" spans="1:7" hidden="1" x14ac:dyDescent="0.55000000000000004">
      <c r="A101" s="208" t="s">
        <v>161</v>
      </c>
      <c r="B101" s="241" t="s">
        <v>2</v>
      </c>
      <c r="C101" s="243">
        <f>SUM(D101:F101)</f>
        <v>0</v>
      </c>
      <c r="D101" s="255"/>
      <c r="E101" s="255"/>
      <c r="F101" s="255"/>
      <c r="G101" s="483"/>
    </row>
    <row r="102" spans="1:7" hidden="1" x14ac:dyDescent="0.55000000000000004">
      <c r="A102" s="208" t="s">
        <v>162</v>
      </c>
      <c r="B102" s="241" t="s">
        <v>2</v>
      </c>
      <c r="C102" s="243">
        <f>SUM(D102:F102)</f>
        <v>0</v>
      </c>
      <c r="D102" s="255"/>
      <c r="E102" s="255"/>
      <c r="F102" s="255"/>
      <c r="G102" s="483"/>
    </row>
    <row r="103" spans="1:7" hidden="1" x14ac:dyDescent="0.55000000000000004">
      <c r="A103" s="207" t="s">
        <v>11</v>
      </c>
      <c r="B103" s="241"/>
      <c r="C103" s="243"/>
      <c r="D103" s="254"/>
      <c r="E103" s="254"/>
      <c r="F103" s="254"/>
      <c r="G103" s="529"/>
    </row>
    <row r="104" spans="1:7" hidden="1" x14ac:dyDescent="0.55000000000000004">
      <c r="A104" s="208" t="s">
        <v>164</v>
      </c>
      <c r="B104" s="241" t="s">
        <v>2</v>
      </c>
      <c r="C104" s="243">
        <f>SUM(D104:F104)</f>
        <v>0</v>
      </c>
      <c r="D104" s="255"/>
      <c r="E104" s="255"/>
      <c r="F104" s="255"/>
      <c r="G104" s="483"/>
    </row>
    <row r="105" spans="1:7" hidden="1" x14ac:dyDescent="0.55000000000000004">
      <c r="A105" s="208" t="s">
        <v>165</v>
      </c>
      <c r="B105" s="241" t="s">
        <v>2</v>
      </c>
      <c r="C105" s="243">
        <f>SUM(D105:F105)</f>
        <v>0</v>
      </c>
      <c r="D105" s="255"/>
      <c r="E105" s="255"/>
      <c r="F105" s="255"/>
      <c r="G105" s="483"/>
    </row>
    <row r="106" spans="1:7" hidden="1" x14ac:dyDescent="0.55000000000000004">
      <c r="A106" s="221" t="s">
        <v>137</v>
      </c>
      <c r="B106" s="241" t="s">
        <v>2</v>
      </c>
      <c r="C106" s="243">
        <f t="shared" ref="C106:C107" si="14">SUM(D106:F106)</f>
        <v>0</v>
      </c>
      <c r="D106" s="255"/>
      <c r="E106" s="255"/>
      <c r="F106" s="255"/>
      <c r="G106" s="483"/>
    </row>
    <row r="107" spans="1:7" hidden="1" x14ac:dyDescent="0.55000000000000004">
      <c r="A107" s="221" t="s">
        <v>170</v>
      </c>
      <c r="B107" s="241" t="s">
        <v>2</v>
      </c>
      <c r="C107" s="243">
        <f t="shared" si="14"/>
        <v>0</v>
      </c>
      <c r="D107" s="255"/>
      <c r="E107" s="255">
        <v>0</v>
      </c>
      <c r="F107" s="255"/>
      <c r="G107" s="483"/>
    </row>
    <row r="108" spans="1:7" hidden="1" x14ac:dyDescent="0.55000000000000004">
      <c r="A108" s="260"/>
      <c r="B108" s="210"/>
      <c r="C108" s="212"/>
      <c r="D108" s="209"/>
      <c r="E108" s="209"/>
      <c r="F108" s="211"/>
      <c r="G108" s="483"/>
    </row>
    <row r="109" spans="1:7" hidden="1" x14ac:dyDescent="0.55000000000000004">
      <c r="A109" s="213" t="s">
        <v>47</v>
      </c>
      <c r="B109" s="196" t="s">
        <v>2</v>
      </c>
      <c r="C109" s="197">
        <f>C85</f>
        <v>0</v>
      </c>
      <c r="D109" s="197">
        <f>D85</f>
        <v>0</v>
      </c>
      <c r="E109" s="197">
        <f>E85</f>
        <v>0</v>
      </c>
      <c r="F109" s="214">
        <f>F85</f>
        <v>0</v>
      </c>
      <c r="G109" s="530"/>
    </row>
    <row r="110" spans="1:7" hidden="1" x14ac:dyDescent="0.55000000000000004">
      <c r="A110" s="213"/>
      <c r="B110" s="196" t="s">
        <v>3</v>
      </c>
      <c r="C110" s="197"/>
      <c r="D110" s="198"/>
      <c r="E110" s="198"/>
      <c r="F110" s="198"/>
      <c r="G110" s="527"/>
    </row>
    <row r="111" spans="1:7" hidden="1" x14ac:dyDescent="0.55000000000000004">
      <c r="A111" s="673" t="s">
        <v>6</v>
      </c>
      <c r="B111" s="225" t="s">
        <v>2</v>
      </c>
      <c r="C111" s="226">
        <f>C109</f>
        <v>0</v>
      </c>
      <c r="D111" s="226">
        <f>D109</f>
        <v>0</v>
      </c>
      <c r="E111" s="226">
        <f>E109</f>
        <v>0</v>
      </c>
      <c r="F111" s="226">
        <f>F109</f>
        <v>0</v>
      </c>
      <c r="G111" s="530"/>
    </row>
    <row r="112" spans="1:7" hidden="1" x14ac:dyDescent="0.55000000000000004">
      <c r="A112" s="674"/>
      <c r="B112" s="225" t="s">
        <v>3</v>
      </c>
      <c r="C112" s="226"/>
      <c r="D112" s="227"/>
      <c r="E112" s="227"/>
      <c r="F112" s="227"/>
      <c r="G112" s="531"/>
    </row>
    <row r="113" spans="1:7" ht="19.5" hidden="1" customHeight="1" x14ac:dyDescent="0.55000000000000004">
      <c r="A113" s="216"/>
      <c r="B113" s="216"/>
      <c r="C113" s="217"/>
      <c r="D113" s="218"/>
      <c r="E113" s="218"/>
      <c r="F113" s="218"/>
      <c r="G113" s="218"/>
    </row>
    <row r="114" spans="1:7" ht="28.5" hidden="1" customHeight="1" x14ac:dyDescent="0.55000000000000004">
      <c r="A114" s="190" t="s">
        <v>228</v>
      </c>
      <c r="B114" s="216"/>
      <c r="C114" s="217"/>
      <c r="D114" s="219"/>
      <c r="E114" s="219"/>
      <c r="F114" s="219"/>
      <c r="G114" s="219"/>
    </row>
    <row r="115" spans="1:7" hidden="1" x14ac:dyDescent="0.55000000000000004"/>
    <row r="116" spans="1:7" hidden="1" x14ac:dyDescent="0.55000000000000004"/>
    <row r="117" spans="1:7" hidden="1" x14ac:dyDescent="0.55000000000000004"/>
  </sheetData>
  <mergeCells count="15">
    <mergeCell ref="A111:A112"/>
    <mergeCell ref="A28:A29"/>
    <mergeCell ref="A79:F79"/>
    <mergeCell ref="A83:A84"/>
    <mergeCell ref="C83:C84"/>
    <mergeCell ref="D83:D84"/>
    <mergeCell ref="E83:E84"/>
    <mergeCell ref="F83:F84"/>
    <mergeCell ref="A52:A53"/>
    <mergeCell ref="A1:F1"/>
    <mergeCell ref="A5:A6"/>
    <mergeCell ref="C5:C6"/>
    <mergeCell ref="D5:D6"/>
    <mergeCell ref="E5:E6"/>
    <mergeCell ref="F5:F6"/>
  </mergeCells>
  <pageMargins left="0.59055118110236227" right="0.39370078740157483" top="0.47244094488188981" bottom="0.11811023622047245" header="0.31496062992125984" footer="0.11811023622047245"/>
  <pageSetup paperSize="9" scale="70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12DFA3-EA42-4C00-BFA8-71D57211D3DB}">
  <sheetPr>
    <tabColor rgb="FF00B050"/>
  </sheetPr>
  <dimension ref="A1:I120"/>
  <sheetViews>
    <sheetView topLeftCell="A64" workbookViewId="0">
      <selection activeCell="D71" sqref="D71"/>
    </sheetView>
  </sheetViews>
  <sheetFormatPr defaultColWidth="9" defaultRowHeight="24" x14ac:dyDescent="0.55000000000000004"/>
  <cols>
    <col min="1" max="1" width="80.625" style="122" customWidth="1"/>
    <col min="2" max="2" width="8.125" style="122" customWidth="1"/>
    <col min="3" max="3" width="22.625" style="220" customWidth="1"/>
    <col min="4" max="6" width="22.625" style="122" customWidth="1"/>
    <col min="7" max="7" width="2.875" style="122" customWidth="1"/>
    <col min="8" max="8" width="13.375" style="589" customWidth="1"/>
    <col min="9" max="9" width="12.75" style="12" customWidth="1"/>
    <col min="10" max="18" width="39.375" style="122" customWidth="1"/>
    <col min="19" max="16384" width="9" style="122"/>
  </cols>
  <sheetData>
    <row r="1" spans="1:9" x14ac:dyDescent="0.55000000000000004">
      <c r="A1" s="672" t="s">
        <v>411</v>
      </c>
      <c r="B1" s="672"/>
      <c r="C1" s="672"/>
      <c r="D1" s="672"/>
      <c r="E1" s="672"/>
      <c r="F1" s="672"/>
      <c r="G1" s="240"/>
    </row>
    <row r="2" spans="1:9" x14ac:dyDescent="0.55000000000000004">
      <c r="A2" s="188" t="s">
        <v>55</v>
      </c>
      <c r="B2" s="188"/>
      <c r="C2" s="189"/>
      <c r="D2" s="188"/>
      <c r="E2" s="188"/>
      <c r="F2" s="188"/>
      <c r="G2" s="188"/>
    </row>
    <row r="3" spans="1:9" x14ac:dyDescent="0.55000000000000004">
      <c r="A3" s="190" t="s">
        <v>182</v>
      </c>
      <c r="B3" s="190"/>
      <c r="C3" s="191"/>
      <c r="E3" s="192"/>
      <c r="F3" s="192" t="s">
        <v>28</v>
      </c>
      <c r="G3" s="192"/>
    </row>
    <row r="4" spans="1:9" ht="11.25" customHeight="1" x14ac:dyDescent="0.55000000000000004">
      <c r="A4" s="190"/>
      <c r="B4" s="190"/>
      <c r="C4" s="191"/>
      <c r="D4" s="192"/>
      <c r="E4" s="192"/>
      <c r="F4" s="192"/>
      <c r="G4" s="192"/>
    </row>
    <row r="5" spans="1:9" ht="21.95" customHeight="1" x14ac:dyDescent="0.5">
      <c r="A5" s="675" t="s">
        <v>13</v>
      </c>
      <c r="B5" s="193" t="s">
        <v>5</v>
      </c>
      <c r="C5" s="677" t="s">
        <v>1</v>
      </c>
      <c r="D5" s="679" t="s">
        <v>414</v>
      </c>
      <c r="E5" s="679" t="s">
        <v>415</v>
      </c>
      <c r="F5" s="679" t="s">
        <v>416</v>
      </c>
      <c r="G5" s="526"/>
      <c r="H5" s="612" t="s">
        <v>255</v>
      </c>
      <c r="I5" s="613" t="s">
        <v>381</v>
      </c>
    </row>
    <row r="6" spans="1:9" ht="21.95" customHeight="1" x14ac:dyDescent="0.2">
      <c r="A6" s="676"/>
      <c r="B6" s="194" t="s">
        <v>3</v>
      </c>
      <c r="C6" s="678"/>
      <c r="D6" s="671"/>
      <c r="E6" s="671"/>
      <c r="F6" s="671"/>
      <c r="G6" s="526"/>
      <c r="H6" s="614"/>
      <c r="I6" s="298"/>
    </row>
    <row r="7" spans="1:9" ht="21.6" customHeight="1" x14ac:dyDescent="0.55000000000000004">
      <c r="A7" s="203" t="s">
        <v>194</v>
      </c>
      <c r="B7" s="537" t="s">
        <v>2</v>
      </c>
      <c r="C7" s="538">
        <f>C9</f>
        <v>1318400</v>
      </c>
      <c r="D7" s="538">
        <f t="shared" ref="D7:F7" si="0">D9</f>
        <v>587400</v>
      </c>
      <c r="E7" s="538">
        <f t="shared" si="0"/>
        <v>369600</v>
      </c>
      <c r="F7" s="493">
        <f t="shared" si="0"/>
        <v>361400</v>
      </c>
      <c r="G7" s="526"/>
    </row>
    <row r="8" spans="1:9" ht="21.6" customHeight="1" x14ac:dyDescent="0.55000000000000004">
      <c r="A8" s="203"/>
      <c r="B8" s="537" t="s">
        <v>3</v>
      </c>
      <c r="C8" s="538"/>
      <c r="D8" s="538"/>
      <c r="E8" s="538"/>
      <c r="F8" s="493"/>
      <c r="G8" s="526"/>
    </row>
    <row r="9" spans="1:9" ht="21.6" customHeight="1" x14ac:dyDescent="0.55000000000000004">
      <c r="A9" s="199" t="s">
        <v>352</v>
      </c>
      <c r="B9" s="200" t="s">
        <v>2</v>
      </c>
      <c r="C9" s="201">
        <f>SUM(D9:F9)</f>
        <v>1318400</v>
      </c>
      <c r="D9" s="201">
        <f>D11</f>
        <v>587400</v>
      </c>
      <c r="E9" s="201">
        <f t="shared" ref="E9:F9" si="1">E11</f>
        <v>369600</v>
      </c>
      <c r="F9" s="201">
        <f t="shared" si="1"/>
        <v>361400</v>
      </c>
      <c r="G9" s="526"/>
      <c r="H9" s="589">
        <f>F9-1318400</f>
        <v>-957000</v>
      </c>
    </row>
    <row r="10" spans="1:9" ht="21.6" customHeight="1" x14ac:dyDescent="0.55000000000000004">
      <c r="A10" s="230"/>
      <c r="B10" s="200" t="s">
        <v>3</v>
      </c>
      <c r="C10" s="201"/>
      <c r="D10" s="202"/>
      <c r="E10" s="202"/>
      <c r="F10" s="202"/>
      <c r="G10" s="526"/>
    </row>
    <row r="11" spans="1:9" ht="23.1" customHeight="1" x14ac:dyDescent="0.55000000000000004">
      <c r="A11" s="205" t="s">
        <v>338</v>
      </c>
      <c r="B11" s="525" t="s">
        <v>2</v>
      </c>
      <c r="C11" s="248">
        <f>SUM(D11:F11)</f>
        <v>1318400</v>
      </c>
      <c r="D11" s="248">
        <f>SUM(D15:D26)</f>
        <v>587400</v>
      </c>
      <c r="E11" s="248">
        <f>SUM(E15:E26)</f>
        <v>369600</v>
      </c>
      <c r="F11" s="248">
        <f>SUM(F15:F26)</f>
        <v>361400</v>
      </c>
      <c r="G11" s="526"/>
    </row>
    <row r="12" spans="1:9" ht="23.1" customHeight="1" x14ac:dyDescent="0.55000000000000004">
      <c r="A12" s="205"/>
      <c r="B12" s="524" t="s">
        <v>3</v>
      </c>
      <c r="C12" s="243"/>
      <c r="D12" s="243"/>
      <c r="E12" s="243"/>
      <c r="F12" s="243"/>
      <c r="G12" s="526"/>
    </row>
    <row r="13" spans="1:9" ht="23.1" customHeight="1" x14ac:dyDescent="0.55000000000000004">
      <c r="A13" s="465" t="s">
        <v>254</v>
      </c>
      <c r="B13" s="241"/>
      <c r="C13" s="243"/>
      <c r="D13" s="247"/>
      <c r="E13" s="247"/>
      <c r="F13" s="247"/>
      <c r="G13" s="526"/>
    </row>
    <row r="14" spans="1:9" ht="23.1" customHeight="1" x14ac:dyDescent="0.55000000000000004">
      <c r="A14" s="466" t="s">
        <v>105</v>
      </c>
      <c r="B14" s="241"/>
      <c r="C14" s="243"/>
      <c r="D14" s="247"/>
      <c r="E14" s="247"/>
      <c r="F14" s="247"/>
      <c r="G14" s="526"/>
    </row>
    <row r="15" spans="1:9" ht="23.1" customHeight="1" x14ac:dyDescent="0.55000000000000004">
      <c r="A15" s="208" t="s">
        <v>262</v>
      </c>
      <c r="B15" s="241" t="s">
        <v>2</v>
      </c>
      <c r="C15" s="243">
        <f>SUM(D15:F15)</f>
        <v>996400</v>
      </c>
      <c r="D15" s="255">
        <v>327500</v>
      </c>
      <c r="E15" s="255">
        <v>325400</v>
      </c>
      <c r="F15" s="255">
        <v>343500</v>
      </c>
      <c r="G15" s="526"/>
      <c r="H15" s="589">
        <v>996400</v>
      </c>
      <c r="I15" s="615">
        <f t="shared" ref="I15:I42" si="2">H15-C15</f>
        <v>0</v>
      </c>
    </row>
    <row r="16" spans="1:9" ht="23.1" customHeight="1" x14ac:dyDescent="0.55000000000000004">
      <c r="A16" s="466" t="s">
        <v>100</v>
      </c>
      <c r="B16" s="241"/>
      <c r="C16" s="243"/>
      <c r="D16" s="247"/>
      <c r="E16" s="247"/>
      <c r="F16" s="247"/>
      <c r="G16" s="526"/>
      <c r="I16" s="615">
        <f t="shared" si="2"/>
        <v>0</v>
      </c>
    </row>
    <row r="17" spans="1:9" ht="23.1" customHeight="1" x14ac:dyDescent="0.55000000000000004">
      <c r="A17" s="208" t="s">
        <v>263</v>
      </c>
      <c r="B17" s="241" t="s">
        <v>2</v>
      </c>
      <c r="C17" s="243">
        <f>SUM(D17:F17)</f>
        <v>57100</v>
      </c>
      <c r="D17" s="255">
        <v>57100</v>
      </c>
      <c r="E17" s="255"/>
      <c r="F17" s="255"/>
      <c r="G17" s="526"/>
      <c r="H17" s="589">
        <v>57100</v>
      </c>
      <c r="I17" s="615">
        <f t="shared" si="2"/>
        <v>0</v>
      </c>
    </row>
    <row r="18" spans="1:9" ht="23.1" customHeight="1" x14ac:dyDescent="0.55000000000000004">
      <c r="A18" s="208" t="s">
        <v>272</v>
      </c>
      <c r="B18" s="241" t="s">
        <v>2</v>
      </c>
      <c r="C18" s="243">
        <f>SUM(D18:F18)</f>
        <v>0</v>
      </c>
      <c r="D18" s="255"/>
      <c r="E18" s="255"/>
      <c r="F18" s="255"/>
      <c r="G18" s="526"/>
      <c r="I18" s="615">
        <f t="shared" si="2"/>
        <v>0</v>
      </c>
    </row>
    <row r="19" spans="1:9" ht="23.1" customHeight="1" x14ac:dyDescent="0.55000000000000004">
      <c r="A19" s="208" t="s">
        <v>264</v>
      </c>
      <c r="B19" s="241" t="s">
        <v>2</v>
      </c>
      <c r="C19" s="243">
        <f>SUM(D19:F19)</f>
        <v>22800</v>
      </c>
      <c r="D19" s="255">
        <v>22800</v>
      </c>
      <c r="E19" s="255"/>
      <c r="F19" s="255"/>
      <c r="G19" s="526"/>
      <c r="H19" s="589">
        <v>22800</v>
      </c>
      <c r="I19" s="615">
        <f t="shared" si="2"/>
        <v>0</v>
      </c>
    </row>
    <row r="20" spans="1:9" ht="23.1" customHeight="1" x14ac:dyDescent="0.55000000000000004">
      <c r="A20" s="466" t="s">
        <v>102</v>
      </c>
      <c r="B20" s="241"/>
      <c r="C20" s="243">
        <f>SUM(D20:F20)</f>
        <v>0</v>
      </c>
      <c r="D20" s="254"/>
      <c r="E20" s="254"/>
      <c r="F20" s="254"/>
      <c r="G20" s="526"/>
      <c r="I20" s="615">
        <f t="shared" si="2"/>
        <v>0</v>
      </c>
    </row>
    <row r="21" spans="1:9" ht="23.1" hidden="1" customHeight="1" x14ac:dyDescent="0.55000000000000004">
      <c r="A21" s="208" t="s">
        <v>266</v>
      </c>
      <c r="B21" s="241" t="s">
        <v>2</v>
      </c>
      <c r="C21" s="251">
        <f t="shared" ref="C21" si="3">SUM(D21:F21)</f>
        <v>0</v>
      </c>
      <c r="D21" s="244"/>
      <c r="E21" s="244"/>
      <c r="F21" s="244"/>
      <c r="G21" s="526"/>
      <c r="I21" s="615">
        <f t="shared" si="2"/>
        <v>0</v>
      </c>
    </row>
    <row r="22" spans="1:9" ht="23.1" customHeight="1" x14ac:dyDescent="0.55000000000000004">
      <c r="A22" s="208" t="s">
        <v>436</v>
      </c>
      <c r="B22" s="241" t="s">
        <v>2</v>
      </c>
      <c r="C22" s="243">
        <f>SUM(D22:F22)</f>
        <v>140000</v>
      </c>
      <c r="D22" s="255">
        <v>140000</v>
      </c>
      <c r="E22" s="244"/>
      <c r="F22" s="244"/>
      <c r="G22" s="526"/>
      <c r="H22" s="589">
        <v>140000</v>
      </c>
      <c r="I22" s="615">
        <f t="shared" si="2"/>
        <v>0</v>
      </c>
    </row>
    <row r="23" spans="1:9" ht="23.1" customHeight="1" x14ac:dyDescent="0.55000000000000004">
      <c r="A23" s="208" t="s">
        <v>267</v>
      </c>
      <c r="B23" s="241" t="s">
        <v>2</v>
      </c>
      <c r="C23" s="243">
        <f t="shared" ref="C23:C26" si="4">SUM(D23:F23)</f>
        <v>40000</v>
      </c>
      <c r="D23" s="255">
        <v>40000</v>
      </c>
      <c r="E23" s="255"/>
      <c r="F23" s="255"/>
      <c r="G23" s="526"/>
      <c r="H23" s="589">
        <v>40000</v>
      </c>
      <c r="I23" s="615">
        <f t="shared" si="2"/>
        <v>0</v>
      </c>
    </row>
    <row r="24" spans="1:9" ht="23.1" customHeight="1" x14ac:dyDescent="0.55000000000000004">
      <c r="A24" s="208" t="s">
        <v>268</v>
      </c>
      <c r="B24" s="245" t="s">
        <v>2</v>
      </c>
      <c r="C24" s="256">
        <f t="shared" si="4"/>
        <v>37900</v>
      </c>
      <c r="D24" s="443"/>
      <c r="E24" s="255">
        <v>20000</v>
      </c>
      <c r="F24" s="255">
        <v>17900</v>
      </c>
      <c r="G24" s="526"/>
      <c r="H24" s="589">
        <v>37900</v>
      </c>
      <c r="I24" s="615">
        <f t="shared" si="2"/>
        <v>0</v>
      </c>
    </row>
    <row r="25" spans="1:9" ht="23.1" hidden="1" customHeight="1" x14ac:dyDescent="0.55000000000000004">
      <c r="A25" s="208" t="s">
        <v>278</v>
      </c>
      <c r="B25" s="241" t="s">
        <v>2</v>
      </c>
      <c r="C25" s="243">
        <f t="shared" si="4"/>
        <v>0</v>
      </c>
      <c r="D25" s="255"/>
      <c r="E25" s="255"/>
      <c r="F25" s="255"/>
      <c r="G25" s="526"/>
      <c r="I25" s="615">
        <f t="shared" si="2"/>
        <v>0</v>
      </c>
    </row>
    <row r="26" spans="1:9" ht="23.1" customHeight="1" x14ac:dyDescent="0.55000000000000004">
      <c r="A26" s="223" t="s">
        <v>269</v>
      </c>
      <c r="B26" s="236" t="s">
        <v>2</v>
      </c>
      <c r="C26" s="237">
        <f t="shared" si="4"/>
        <v>24200</v>
      </c>
      <c r="D26" s="211"/>
      <c r="E26" s="211">
        <v>24200</v>
      </c>
      <c r="F26" s="211"/>
      <c r="G26" s="526"/>
      <c r="H26" s="589">
        <v>24200</v>
      </c>
      <c r="I26" s="615">
        <f t="shared" si="2"/>
        <v>0</v>
      </c>
    </row>
    <row r="27" spans="1:9" ht="21.6" customHeight="1" x14ac:dyDescent="0.55000000000000004">
      <c r="A27" s="468" t="s">
        <v>365</v>
      </c>
      <c r="B27" s="196" t="s">
        <v>2</v>
      </c>
      <c r="C27" s="197">
        <f>SUM(D27:F27)</f>
        <v>1318400</v>
      </c>
      <c r="D27" s="197">
        <f>D7</f>
        <v>587400</v>
      </c>
      <c r="E27" s="197">
        <f>E7</f>
        <v>369600</v>
      </c>
      <c r="F27" s="214">
        <f>F7</f>
        <v>361400</v>
      </c>
      <c r="G27" s="526"/>
      <c r="I27" s="615">
        <f t="shared" si="2"/>
        <v>-1318400</v>
      </c>
    </row>
    <row r="28" spans="1:9" ht="21.6" customHeight="1" x14ac:dyDescent="0.55000000000000004">
      <c r="A28" s="495"/>
      <c r="B28" s="196" t="s">
        <v>3</v>
      </c>
      <c r="C28" s="197"/>
      <c r="D28" s="198"/>
      <c r="E28" s="198"/>
      <c r="F28" s="198"/>
      <c r="G28" s="526"/>
      <c r="I28" s="615">
        <f t="shared" si="2"/>
        <v>0</v>
      </c>
    </row>
    <row r="29" spans="1:9" ht="21.6" customHeight="1" x14ac:dyDescent="0.55000000000000004">
      <c r="A29" s="195" t="s">
        <v>366</v>
      </c>
      <c r="B29" s="196" t="s">
        <v>2</v>
      </c>
      <c r="C29" s="197">
        <f>SUM(D29:F29)</f>
        <v>0</v>
      </c>
      <c r="D29" s="198">
        <v>0</v>
      </c>
      <c r="E29" s="198">
        <v>0</v>
      </c>
      <c r="F29" s="198">
        <v>0</v>
      </c>
      <c r="G29" s="526"/>
      <c r="I29" s="615">
        <f t="shared" si="2"/>
        <v>0</v>
      </c>
    </row>
    <row r="30" spans="1:9" ht="21.6" customHeight="1" x14ac:dyDescent="0.55000000000000004">
      <c r="A30" s="495"/>
      <c r="B30" s="196" t="s">
        <v>3</v>
      </c>
      <c r="C30" s="197"/>
      <c r="D30" s="198"/>
      <c r="E30" s="198"/>
      <c r="F30" s="198"/>
      <c r="G30" s="526"/>
      <c r="I30" s="615">
        <f t="shared" si="2"/>
        <v>0</v>
      </c>
    </row>
    <row r="31" spans="1:9" ht="21.6" customHeight="1" x14ac:dyDescent="0.55000000000000004">
      <c r="A31" s="673" t="s">
        <v>1</v>
      </c>
      <c r="B31" s="225" t="s">
        <v>2</v>
      </c>
      <c r="C31" s="226">
        <f>SUM(D31:F31)</f>
        <v>1318400</v>
      </c>
      <c r="D31" s="226">
        <f>D27+D29</f>
        <v>587400</v>
      </c>
      <c r="E31" s="226">
        <f t="shared" ref="E31:F31" si="5">E27+E29</f>
        <v>369600</v>
      </c>
      <c r="F31" s="226">
        <f t="shared" si="5"/>
        <v>361400</v>
      </c>
      <c r="G31" s="526"/>
      <c r="I31" s="615">
        <f t="shared" si="2"/>
        <v>-1318400</v>
      </c>
    </row>
    <row r="32" spans="1:9" ht="21.6" customHeight="1" x14ac:dyDescent="0.55000000000000004">
      <c r="A32" s="674"/>
      <c r="B32" s="225" t="s">
        <v>3</v>
      </c>
      <c r="C32" s="214"/>
      <c r="D32" s="215"/>
      <c r="E32" s="215"/>
      <c r="F32" s="215"/>
      <c r="G32" s="526"/>
      <c r="I32" s="615">
        <f t="shared" si="2"/>
        <v>0</v>
      </c>
    </row>
    <row r="33" spans="1:9" ht="21.6" customHeight="1" x14ac:dyDescent="0.55000000000000004">
      <c r="A33" s="190" t="s">
        <v>229</v>
      </c>
      <c r="B33" s="526"/>
      <c r="C33" s="602">
        <f>C31-C7</f>
        <v>0</v>
      </c>
      <c r="D33" s="602">
        <f t="shared" ref="D33:F33" si="6">D31-D7</f>
        <v>0</v>
      </c>
      <c r="E33" s="602">
        <f t="shared" si="6"/>
        <v>0</v>
      </c>
      <c r="F33" s="602">
        <f t="shared" si="6"/>
        <v>0</v>
      </c>
      <c r="G33" s="526"/>
      <c r="I33" s="615"/>
    </row>
    <row r="34" spans="1:9" ht="21.6" customHeight="1" x14ac:dyDescent="0.55000000000000004">
      <c r="A34" s="190"/>
      <c r="B34" s="526"/>
      <c r="C34" s="602"/>
      <c r="D34" s="602"/>
      <c r="E34" s="602"/>
      <c r="F34" s="602"/>
      <c r="G34" s="526"/>
      <c r="I34" s="615"/>
    </row>
    <row r="35" spans="1:9" ht="21.6" customHeight="1" x14ac:dyDescent="0.55000000000000004">
      <c r="A35" s="190"/>
      <c r="B35" s="526"/>
      <c r="C35" s="602"/>
      <c r="D35" s="602"/>
      <c r="E35" s="602"/>
      <c r="F35" s="602"/>
      <c r="G35" s="526"/>
      <c r="I35" s="615"/>
    </row>
    <row r="36" spans="1:9" ht="21.6" customHeight="1" x14ac:dyDescent="0.55000000000000004">
      <c r="A36" s="190"/>
      <c r="B36" s="526"/>
      <c r="C36" s="602"/>
      <c r="D36" s="602"/>
      <c r="E36" s="602"/>
      <c r="F36" s="602"/>
      <c r="G36" s="526"/>
      <c r="I36" s="615"/>
    </row>
    <row r="37" spans="1:9" ht="23.1" customHeight="1" x14ac:dyDescent="0.55000000000000004">
      <c r="A37" s="199" t="s">
        <v>194</v>
      </c>
      <c r="B37" s="540" t="s">
        <v>2</v>
      </c>
      <c r="C37" s="541">
        <f>C39</f>
        <v>450000</v>
      </c>
      <c r="D37" s="541">
        <f t="shared" ref="D37:F37" si="7">D39</f>
        <v>450000</v>
      </c>
      <c r="E37" s="541">
        <f t="shared" si="7"/>
        <v>0</v>
      </c>
      <c r="F37" s="201">
        <f t="shared" si="7"/>
        <v>0</v>
      </c>
      <c r="G37" s="526"/>
      <c r="I37" s="615">
        <f t="shared" si="2"/>
        <v>-450000</v>
      </c>
    </row>
    <row r="38" spans="1:9" ht="23.1" customHeight="1" x14ac:dyDescent="0.55000000000000004">
      <c r="A38" s="230"/>
      <c r="B38" s="537" t="s">
        <v>3</v>
      </c>
      <c r="C38" s="538"/>
      <c r="D38" s="538"/>
      <c r="E38" s="538"/>
      <c r="F38" s="493"/>
      <c r="G38" s="526"/>
      <c r="I38" s="615">
        <f t="shared" si="2"/>
        <v>0</v>
      </c>
    </row>
    <row r="39" spans="1:9" ht="23.1" customHeight="1" x14ac:dyDescent="0.55000000000000004">
      <c r="A39" s="199" t="s">
        <v>353</v>
      </c>
      <c r="B39" s="200" t="s">
        <v>2</v>
      </c>
      <c r="C39" s="201">
        <f>SUM(D39:F39)</f>
        <v>450000</v>
      </c>
      <c r="D39" s="201">
        <f>D41</f>
        <v>450000</v>
      </c>
      <c r="E39" s="201">
        <f t="shared" ref="E39:F39" si="8">E41</f>
        <v>0</v>
      </c>
      <c r="F39" s="201">
        <f t="shared" si="8"/>
        <v>0</v>
      </c>
      <c r="G39" s="526"/>
      <c r="H39" s="589">
        <f>F39-450000</f>
        <v>-450000</v>
      </c>
      <c r="I39" s="615">
        <f t="shared" si="2"/>
        <v>-900000</v>
      </c>
    </row>
    <row r="40" spans="1:9" ht="23.1" customHeight="1" x14ac:dyDescent="0.55000000000000004">
      <c r="A40" s="230"/>
      <c r="B40" s="200" t="s">
        <v>3</v>
      </c>
      <c r="C40" s="201"/>
      <c r="D40" s="202"/>
      <c r="E40" s="202"/>
      <c r="F40" s="202"/>
      <c r="G40" s="526"/>
      <c r="I40" s="615">
        <f t="shared" si="2"/>
        <v>0</v>
      </c>
    </row>
    <row r="41" spans="1:9" ht="24.95" customHeight="1" x14ac:dyDescent="0.55000000000000004">
      <c r="A41" s="205" t="s">
        <v>338</v>
      </c>
      <c r="B41" s="246" t="s">
        <v>2</v>
      </c>
      <c r="C41" s="248">
        <f>SUM(D41:F41)</f>
        <v>450000</v>
      </c>
      <c r="D41" s="248">
        <f>SUM(D43)</f>
        <v>450000</v>
      </c>
      <c r="E41" s="248">
        <f t="shared" ref="E41:F41" si="9">SUM(E43)</f>
        <v>0</v>
      </c>
      <c r="F41" s="248">
        <f t="shared" si="9"/>
        <v>0</v>
      </c>
      <c r="G41" s="526"/>
      <c r="I41" s="615">
        <f t="shared" si="2"/>
        <v>-450000</v>
      </c>
    </row>
    <row r="42" spans="1:9" ht="24.95" customHeight="1" x14ac:dyDescent="0.55000000000000004">
      <c r="A42" s="205"/>
      <c r="B42" s="241" t="s">
        <v>3</v>
      </c>
      <c r="C42" s="243"/>
      <c r="D42" s="243"/>
      <c r="E42" s="243"/>
      <c r="F42" s="243"/>
      <c r="G42" s="526"/>
      <c r="I42" s="615">
        <f t="shared" si="2"/>
        <v>0</v>
      </c>
    </row>
    <row r="43" spans="1:9" ht="24.95" customHeight="1" x14ac:dyDescent="0.55000000000000004">
      <c r="A43" s="465" t="s">
        <v>254</v>
      </c>
      <c r="B43" s="241"/>
      <c r="C43" s="243">
        <f>SUM(D43:F43)</f>
        <v>450000</v>
      </c>
      <c r="D43" s="247">
        <f>SUM(D45)</f>
        <v>450000</v>
      </c>
      <c r="E43" s="247">
        <f t="shared" ref="E43:F43" si="10">SUM(E45)</f>
        <v>0</v>
      </c>
      <c r="F43" s="247">
        <f t="shared" si="10"/>
        <v>0</v>
      </c>
      <c r="G43" s="526"/>
      <c r="I43" s="615">
        <f t="shared" ref="I43:I73" si="11">H43-C43</f>
        <v>-450000</v>
      </c>
    </row>
    <row r="44" spans="1:9" ht="24.95" customHeight="1" x14ac:dyDescent="0.55000000000000004">
      <c r="A44" s="466" t="s">
        <v>102</v>
      </c>
      <c r="B44" s="241"/>
      <c r="C44" s="243"/>
      <c r="D44" s="254"/>
      <c r="E44" s="254"/>
      <c r="F44" s="254"/>
      <c r="G44" s="526"/>
      <c r="I44" s="615">
        <f t="shared" si="11"/>
        <v>0</v>
      </c>
    </row>
    <row r="45" spans="1:9" ht="24.95" customHeight="1" x14ac:dyDescent="0.55000000000000004">
      <c r="A45" s="208" t="s">
        <v>279</v>
      </c>
      <c r="B45" s="241" t="s">
        <v>2</v>
      </c>
      <c r="C45" s="243">
        <f t="shared" ref="C45" si="12">SUM(D45:F45)</f>
        <v>450000</v>
      </c>
      <c r="D45" s="255">
        <v>450000</v>
      </c>
      <c r="E45" s="255"/>
      <c r="F45" s="255"/>
      <c r="G45" s="526"/>
      <c r="H45" s="589">
        <v>450000</v>
      </c>
      <c r="I45" s="615">
        <f t="shared" si="11"/>
        <v>0</v>
      </c>
    </row>
    <row r="46" spans="1:9" ht="24.95" customHeight="1" x14ac:dyDescent="0.55000000000000004">
      <c r="A46" s="208"/>
      <c r="B46" s="210"/>
      <c r="C46" s="212"/>
      <c r="D46" s="209"/>
      <c r="E46" s="209"/>
      <c r="F46" s="211"/>
      <c r="G46" s="526"/>
      <c r="I46" s="615"/>
    </row>
    <row r="47" spans="1:9" ht="24" customHeight="1" x14ac:dyDescent="0.55000000000000004">
      <c r="A47" s="468" t="s">
        <v>365</v>
      </c>
      <c r="B47" s="196" t="s">
        <v>2</v>
      </c>
      <c r="C47" s="197">
        <f>SUM(D47:F47)</f>
        <v>450000</v>
      </c>
      <c r="D47" s="197">
        <f>D37</f>
        <v>450000</v>
      </c>
      <c r="E47" s="197">
        <f>E37</f>
        <v>0</v>
      </c>
      <c r="F47" s="214">
        <f>F37</f>
        <v>0</v>
      </c>
      <c r="G47" s="526"/>
      <c r="I47" s="615">
        <f t="shared" si="11"/>
        <v>-450000</v>
      </c>
    </row>
    <row r="48" spans="1:9" ht="24" customHeight="1" x14ac:dyDescent="0.55000000000000004">
      <c r="A48" s="495"/>
      <c r="B48" s="196" t="s">
        <v>3</v>
      </c>
      <c r="C48" s="197"/>
      <c r="D48" s="198"/>
      <c r="E48" s="198"/>
      <c r="F48" s="198"/>
      <c r="G48" s="526"/>
      <c r="I48" s="615">
        <f t="shared" si="11"/>
        <v>0</v>
      </c>
    </row>
    <row r="49" spans="1:9" ht="24" customHeight="1" x14ac:dyDescent="0.55000000000000004">
      <c r="A49" s="195" t="s">
        <v>366</v>
      </c>
      <c r="B49" s="196" t="s">
        <v>2</v>
      </c>
      <c r="C49" s="197">
        <f>SUM(D49:F49)</f>
        <v>0</v>
      </c>
      <c r="D49" s="198">
        <v>0</v>
      </c>
      <c r="E49" s="198">
        <v>0</v>
      </c>
      <c r="F49" s="198">
        <v>0</v>
      </c>
      <c r="G49" s="526"/>
      <c r="I49" s="615">
        <f t="shared" si="11"/>
        <v>0</v>
      </c>
    </row>
    <row r="50" spans="1:9" ht="24" customHeight="1" x14ac:dyDescent="0.55000000000000004">
      <c r="A50" s="495"/>
      <c r="B50" s="196" t="s">
        <v>3</v>
      </c>
      <c r="C50" s="197"/>
      <c r="D50" s="198"/>
      <c r="E50" s="198"/>
      <c r="F50" s="198"/>
      <c r="G50" s="526"/>
      <c r="I50" s="615">
        <f t="shared" si="11"/>
        <v>0</v>
      </c>
    </row>
    <row r="51" spans="1:9" ht="24" customHeight="1" x14ac:dyDescent="0.55000000000000004">
      <c r="A51" s="673" t="s">
        <v>1</v>
      </c>
      <c r="B51" s="225" t="s">
        <v>2</v>
      </c>
      <c r="C51" s="226">
        <f>SUM(D51:F51)</f>
        <v>450000</v>
      </c>
      <c r="D51" s="226">
        <f>D47+D49</f>
        <v>450000</v>
      </c>
      <c r="E51" s="226">
        <f t="shared" ref="E51:F51" si="13">E47+E49</f>
        <v>0</v>
      </c>
      <c r="F51" s="226">
        <f t="shared" si="13"/>
        <v>0</v>
      </c>
      <c r="G51" s="526"/>
      <c r="I51" s="615">
        <f t="shared" si="11"/>
        <v>-450000</v>
      </c>
    </row>
    <row r="52" spans="1:9" ht="24" customHeight="1" x14ac:dyDescent="0.55000000000000004">
      <c r="A52" s="674"/>
      <c r="B52" s="225" t="s">
        <v>3</v>
      </c>
      <c r="C52" s="214"/>
      <c r="D52" s="227"/>
      <c r="E52" s="227"/>
      <c r="F52" s="227"/>
      <c r="G52" s="526"/>
      <c r="I52" s="615">
        <f t="shared" si="11"/>
        <v>0</v>
      </c>
    </row>
    <row r="53" spans="1:9" ht="28.5" customHeight="1" x14ac:dyDescent="0.55000000000000004">
      <c r="A53" s="190" t="s">
        <v>229</v>
      </c>
      <c r="B53" s="526"/>
      <c r="C53" s="526"/>
      <c r="D53" s="526"/>
      <c r="E53" s="526"/>
      <c r="F53" s="526"/>
      <c r="G53" s="526"/>
      <c r="I53" s="615"/>
    </row>
    <row r="54" spans="1:9" ht="28.5" customHeight="1" x14ac:dyDescent="0.55000000000000004">
      <c r="A54" s="526"/>
      <c r="B54" s="526"/>
      <c r="C54" s="602">
        <f>C51-C37</f>
        <v>0</v>
      </c>
      <c r="D54" s="602">
        <f t="shared" ref="D54:F54" si="14">D51-D37</f>
        <v>0</v>
      </c>
      <c r="E54" s="602">
        <f t="shared" si="14"/>
        <v>0</v>
      </c>
      <c r="F54" s="602">
        <f t="shared" si="14"/>
        <v>0</v>
      </c>
      <c r="G54" s="526"/>
      <c r="I54" s="615"/>
    </row>
    <row r="55" spans="1:9" ht="28.5" customHeight="1" x14ac:dyDescent="0.55000000000000004">
      <c r="A55" s="526"/>
      <c r="B55" s="526"/>
      <c r="C55" s="526"/>
      <c r="D55" s="526"/>
      <c r="E55" s="526"/>
      <c r="F55" s="526"/>
      <c r="G55" s="526"/>
      <c r="I55" s="615"/>
    </row>
    <row r="56" spans="1:9" ht="28.5" customHeight="1" x14ac:dyDescent="0.55000000000000004">
      <c r="A56" s="526"/>
      <c r="B56" s="526"/>
      <c r="C56" s="526"/>
      <c r="D56" s="526"/>
      <c r="E56" s="526"/>
      <c r="F56" s="526"/>
      <c r="G56" s="526"/>
      <c r="I56" s="615"/>
    </row>
    <row r="57" spans="1:9" ht="28.5" customHeight="1" x14ac:dyDescent="0.55000000000000004">
      <c r="A57" s="526"/>
      <c r="B57" s="526"/>
      <c r="C57" s="526"/>
      <c r="D57" s="526"/>
      <c r="E57" s="526"/>
      <c r="F57" s="526"/>
      <c r="G57" s="526"/>
      <c r="I57" s="615"/>
    </row>
    <row r="58" spans="1:9" ht="28.5" customHeight="1" x14ac:dyDescent="0.55000000000000004">
      <c r="A58" s="526"/>
      <c r="B58" s="526"/>
      <c r="C58" s="526"/>
      <c r="D58" s="526"/>
      <c r="E58" s="526"/>
      <c r="F58" s="526"/>
      <c r="G58" s="526"/>
      <c r="I58" s="615"/>
    </row>
    <row r="59" spans="1:9" ht="28.5" customHeight="1" x14ac:dyDescent="0.55000000000000004">
      <c r="A59" s="526"/>
      <c r="B59" s="526"/>
      <c r="C59" s="526"/>
      <c r="D59" s="526"/>
      <c r="E59" s="526"/>
      <c r="F59" s="526"/>
      <c r="G59" s="526"/>
      <c r="I59" s="615"/>
    </row>
    <row r="60" spans="1:9" ht="28.5" customHeight="1" x14ac:dyDescent="0.55000000000000004">
      <c r="A60" s="526"/>
      <c r="B60" s="526"/>
      <c r="C60" s="526"/>
      <c r="D60" s="526"/>
      <c r="E60" s="526"/>
      <c r="F60" s="526"/>
      <c r="G60" s="526"/>
      <c r="I60" s="615"/>
    </row>
    <row r="61" spans="1:9" ht="28.5" customHeight="1" x14ac:dyDescent="0.55000000000000004">
      <c r="A61" s="526"/>
      <c r="B61" s="526"/>
      <c r="C61" s="526"/>
      <c r="D61" s="526"/>
      <c r="E61" s="526"/>
      <c r="F61" s="526"/>
      <c r="G61" s="526"/>
      <c r="I61" s="615"/>
    </row>
    <row r="62" spans="1:9" ht="24.95" customHeight="1" x14ac:dyDescent="0.55000000000000004">
      <c r="A62" s="199" t="s">
        <v>194</v>
      </c>
      <c r="B62" s="540" t="s">
        <v>2</v>
      </c>
      <c r="C62" s="541">
        <f>C64</f>
        <v>19000000</v>
      </c>
      <c r="D62" s="542">
        <f>D64</f>
        <v>16500000</v>
      </c>
      <c r="E62" s="542">
        <f>E64</f>
        <v>2500000</v>
      </c>
      <c r="F62" s="542">
        <f>F64</f>
        <v>0</v>
      </c>
      <c r="G62" s="526"/>
      <c r="I62" s="615">
        <f t="shared" si="11"/>
        <v>-19000000</v>
      </c>
    </row>
    <row r="63" spans="1:9" ht="24.95" customHeight="1" x14ac:dyDescent="0.55000000000000004">
      <c r="A63" s="230"/>
      <c r="B63" s="537" t="s">
        <v>3</v>
      </c>
      <c r="C63" s="538"/>
      <c r="D63" s="542"/>
      <c r="E63" s="542"/>
      <c r="F63" s="542"/>
      <c r="G63" s="526"/>
      <c r="I63" s="615">
        <f t="shared" si="11"/>
        <v>0</v>
      </c>
    </row>
    <row r="64" spans="1:9" ht="24.95" customHeight="1" x14ac:dyDescent="0.55000000000000004">
      <c r="A64" s="199" t="s">
        <v>354</v>
      </c>
      <c r="B64" s="200" t="s">
        <v>2</v>
      </c>
      <c r="C64" s="201">
        <f>SUM(D64:F64)</f>
        <v>19000000</v>
      </c>
      <c r="D64" s="201">
        <f>D66</f>
        <v>16500000</v>
      </c>
      <c r="E64" s="201">
        <f t="shared" ref="E64:F64" si="15">E66</f>
        <v>2500000</v>
      </c>
      <c r="F64" s="201">
        <f t="shared" si="15"/>
        <v>0</v>
      </c>
      <c r="G64" s="526"/>
      <c r="H64" s="589">
        <f>F64-19000000</f>
        <v>-19000000</v>
      </c>
      <c r="I64" s="615">
        <f t="shared" si="11"/>
        <v>-38000000</v>
      </c>
    </row>
    <row r="65" spans="1:9" ht="24.95" customHeight="1" x14ac:dyDescent="0.55000000000000004">
      <c r="A65" s="230"/>
      <c r="B65" s="200" t="s">
        <v>3</v>
      </c>
      <c r="C65" s="201"/>
      <c r="D65" s="202"/>
      <c r="E65" s="202"/>
      <c r="F65" s="202"/>
      <c r="G65" s="526"/>
      <c r="I65" s="615">
        <f t="shared" si="11"/>
        <v>0</v>
      </c>
    </row>
    <row r="66" spans="1:9" ht="24.95" customHeight="1" x14ac:dyDescent="0.55000000000000004">
      <c r="A66" s="205" t="s">
        <v>338</v>
      </c>
      <c r="B66" s="246" t="s">
        <v>2</v>
      </c>
      <c r="C66" s="248">
        <f>SUM(D66:F66)</f>
        <v>19000000</v>
      </c>
      <c r="D66" s="248">
        <f>SUM(D69:D73)</f>
        <v>16500000</v>
      </c>
      <c r="E66" s="248">
        <f>SUM(E69:E73)</f>
        <v>2500000</v>
      </c>
      <c r="F66" s="248">
        <f t="shared" ref="F66" si="16">SUM(F69:F73)</f>
        <v>0</v>
      </c>
      <c r="G66" s="526"/>
      <c r="I66" s="615"/>
    </row>
    <row r="67" spans="1:9" ht="24.95" customHeight="1" x14ac:dyDescent="0.55000000000000004">
      <c r="A67" s="205"/>
      <c r="B67" s="241" t="s">
        <v>3</v>
      </c>
      <c r="C67" s="243"/>
      <c r="D67" s="243"/>
      <c r="E67" s="243"/>
      <c r="F67" s="243"/>
      <c r="G67" s="526"/>
      <c r="I67" s="615">
        <f t="shared" si="11"/>
        <v>0</v>
      </c>
    </row>
    <row r="68" spans="1:9" ht="24.95" customHeight="1" x14ac:dyDescent="0.55000000000000004">
      <c r="A68" s="465" t="s">
        <v>254</v>
      </c>
      <c r="B68" s="241"/>
      <c r="C68" s="243"/>
      <c r="D68" s="247"/>
      <c r="E68" s="247"/>
      <c r="F68" s="247"/>
      <c r="G68" s="253"/>
      <c r="I68" s="615">
        <f t="shared" si="11"/>
        <v>0</v>
      </c>
    </row>
    <row r="69" spans="1:9" ht="24.95" customHeight="1" x14ac:dyDescent="0.55000000000000004">
      <c r="A69" s="466" t="s">
        <v>100</v>
      </c>
      <c r="B69" s="241"/>
      <c r="C69" s="243"/>
      <c r="D69" s="247"/>
      <c r="E69" s="247"/>
      <c r="F69" s="247"/>
      <c r="G69" s="253"/>
      <c r="I69" s="615">
        <f t="shared" si="11"/>
        <v>0</v>
      </c>
    </row>
    <row r="70" spans="1:9" ht="24.95" customHeight="1" x14ac:dyDescent="0.55000000000000004">
      <c r="A70" s="208" t="s">
        <v>280</v>
      </c>
      <c r="B70" s="241" t="s">
        <v>2</v>
      </c>
      <c r="C70" s="243">
        <f>SUM(D70:F70)</f>
        <v>5000000</v>
      </c>
      <c r="D70" s="255">
        <v>3000000</v>
      </c>
      <c r="E70" s="255">
        <v>2000000</v>
      </c>
      <c r="F70" s="255"/>
      <c r="G70" s="483"/>
      <c r="H70" s="589">
        <v>5000000</v>
      </c>
      <c r="I70" s="615">
        <f t="shared" si="11"/>
        <v>0</v>
      </c>
    </row>
    <row r="71" spans="1:9" ht="24.95" customHeight="1" x14ac:dyDescent="0.55000000000000004">
      <c r="A71" s="208" t="s">
        <v>281</v>
      </c>
      <c r="B71" s="241" t="s">
        <v>2</v>
      </c>
      <c r="C71" s="243">
        <f>SUM(D71:F71)</f>
        <v>13000000</v>
      </c>
      <c r="D71" s="255">
        <v>13000000</v>
      </c>
      <c r="E71" s="255"/>
      <c r="F71" s="255"/>
      <c r="G71" s="483"/>
      <c r="H71" s="589">
        <v>13000000</v>
      </c>
      <c r="I71" s="615">
        <f t="shared" si="11"/>
        <v>0</v>
      </c>
    </row>
    <row r="72" spans="1:9" ht="24.95" customHeight="1" x14ac:dyDescent="0.55000000000000004">
      <c r="A72" s="466" t="s">
        <v>102</v>
      </c>
      <c r="B72" s="245"/>
      <c r="C72" s="256"/>
      <c r="D72" s="521"/>
      <c r="E72" s="521"/>
      <c r="F72" s="521"/>
      <c r="G72" s="529"/>
      <c r="I72" s="615">
        <f t="shared" si="11"/>
        <v>0</v>
      </c>
    </row>
    <row r="73" spans="1:9" ht="24.95" customHeight="1" x14ac:dyDescent="0.55000000000000004">
      <c r="A73" s="208" t="s">
        <v>392</v>
      </c>
      <c r="B73" s="241" t="s">
        <v>2</v>
      </c>
      <c r="C73" s="243">
        <f t="shared" ref="C73" si="17">SUM(D73:F73)</f>
        <v>1000000</v>
      </c>
      <c r="D73" s="255">
        <v>500000</v>
      </c>
      <c r="E73" s="255">
        <v>500000</v>
      </c>
      <c r="F73" s="255"/>
      <c r="G73" s="483"/>
      <c r="H73" s="589">
        <v>1000000</v>
      </c>
      <c r="I73" s="615">
        <f t="shared" si="11"/>
        <v>0</v>
      </c>
    </row>
    <row r="74" spans="1:9" ht="24.95" customHeight="1" x14ac:dyDescent="0.55000000000000004">
      <c r="A74" s="208"/>
      <c r="B74" s="210"/>
      <c r="C74" s="212"/>
      <c r="D74" s="209"/>
      <c r="E74" s="209"/>
      <c r="F74" s="211"/>
      <c r="G74" s="483"/>
    </row>
    <row r="75" spans="1:9" ht="24" customHeight="1" x14ac:dyDescent="0.55000000000000004">
      <c r="A75" s="468" t="s">
        <v>365</v>
      </c>
      <c r="B75" s="196" t="s">
        <v>2</v>
      </c>
      <c r="C75" s="197">
        <f>SUM(D75:F75)</f>
        <v>19000000</v>
      </c>
      <c r="D75" s="197">
        <f>D62</f>
        <v>16500000</v>
      </c>
      <c r="E75" s="197">
        <f>E62</f>
        <v>2500000</v>
      </c>
      <c r="F75" s="214">
        <f>F62</f>
        <v>0</v>
      </c>
      <c r="G75" s="483"/>
    </row>
    <row r="76" spans="1:9" ht="24" customHeight="1" x14ac:dyDescent="0.55000000000000004">
      <c r="A76" s="495"/>
      <c r="B76" s="196" t="s">
        <v>3</v>
      </c>
      <c r="C76" s="197"/>
      <c r="D76" s="198"/>
      <c r="E76" s="198"/>
      <c r="F76" s="198"/>
      <c r="G76" s="483"/>
    </row>
    <row r="77" spans="1:9" ht="24" customHeight="1" x14ac:dyDescent="0.55000000000000004">
      <c r="A77" s="195" t="s">
        <v>366</v>
      </c>
      <c r="B77" s="196" t="s">
        <v>2</v>
      </c>
      <c r="C77" s="197">
        <f>SUM(D77:F77)</f>
        <v>0</v>
      </c>
      <c r="D77" s="198">
        <v>0</v>
      </c>
      <c r="E77" s="198">
        <v>0</v>
      </c>
      <c r="F77" s="198">
        <v>0</v>
      </c>
      <c r="G77" s="483"/>
    </row>
    <row r="78" spans="1:9" ht="24" customHeight="1" x14ac:dyDescent="0.55000000000000004">
      <c r="A78" s="495"/>
      <c r="B78" s="196" t="s">
        <v>3</v>
      </c>
      <c r="C78" s="197"/>
      <c r="D78" s="198"/>
      <c r="E78" s="198"/>
      <c r="F78" s="198"/>
      <c r="G78" s="483"/>
    </row>
    <row r="79" spans="1:9" ht="24" customHeight="1" x14ac:dyDescent="0.55000000000000004">
      <c r="A79" s="673" t="s">
        <v>1</v>
      </c>
      <c r="B79" s="225" t="s">
        <v>2</v>
      </c>
      <c r="C79" s="226">
        <f>SUM(D79:F79)</f>
        <v>19000000</v>
      </c>
      <c r="D79" s="226">
        <f>D75+D77</f>
        <v>16500000</v>
      </c>
      <c r="E79" s="226">
        <f t="shared" ref="E79:F79" si="18">E75+E77</f>
        <v>2500000</v>
      </c>
      <c r="F79" s="226">
        <f t="shared" si="18"/>
        <v>0</v>
      </c>
      <c r="G79" s="483"/>
    </row>
    <row r="80" spans="1:9" ht="24" customHeight="1" x14ac:dyDescent="0.55000000000000004">
      <c r="A80" s="674"/>
      <c r="B80" s="225" t="s">
        <v>3</v>
      </c>
      <c r="C80" s="214"/>
      <c r="D80" s="215"/>
      <c r="E80" s="215"/>
      <c r="F80" s="215"/>
      <c r="G80" s="483"/>
    </row>
    <row r="81" spans="1:9" ht="26.25" customHeight="1" x14ac:dyDescent="0.55000000000000004">
      <c r="A81" s="190" t="s">
        <v>229</v>
      </c>
      <c r="B81" s="483"/>
      <c r="C81" s="483"/>
      <c r="D81" s="483"/>
      <c r="E81" s="483"/>
      <c r="F81" s="483"/>
      <c r="G81" s="483"/>
    </row>
    <row r="82" spans="1:9" ht="23.1" customHeight="1" x14ac:dyDescent="0.55000000000000004">
      <c r="A82" s="483"/>
      <c r="B82" s="483"/>
      <c r="C82" s="483">
        <f>C79-C62</f>
        <v>0</v>
      </c>
      <c r="D82" s="483">
        <f t="shared" ref="D82:F82" si="19">D79-D62</f>
        <v>0</v>
      </c>
      <c r="E82" s="483">
        <f t="shared" si="19"/>
        <v>0</v>
      </c>
      <c r="F82" s="483">
        <f t="shared" si="19"/>
        <v>0</v>
      </c>
      <c r="G82" s="483"/>
    </row>
    <row r="83" spans="1:9" ht="23.1" customHeight="1" x14ac:dyDescent="0.55000000000000004">
      <c r="A83" s="483"/>
      <c r="B83" s="483"/>
      <c r="C83" s="483"/>
      <c r="D83" s="483"/>
      <c r="E83" s="483"/>
      <c r="F83" s="483"/>
      <c r="G83" s="483"/>
    </row>
    <row r="84" spans="1:9" ht="23.1" customHeight="1" x14ac:dyDescent="0.55000000000000004">
      <c r="A84" s="483"/>
      <c r="B84" s="483"/>
      <c r="C84" s="483"/>
      <c r="D84" s="483"/>
      <c r="E84" s="483"/>
      <c r="F84" s="483"/>
      <c r="G84" s="483"/>
    </row>
    <row r="85" spans="1:9" ht="23.1" customHeight="1" x14ac:dyDescent="0.55000000000000004">
      <c r="A85" s="483"/>
      <c r="B85" s="483"/>
      <c r="C85" s="483"/>
      <c r="D85" s="483"/>
      <c r="E85" s="483"/>
      <c r="F85" s="483"/>
      <c r="G85" s="483"/>
    </row>
    <row r="86" spans="1:9" ht="23.1" customHeight="1" x14ac:dyDescent="0.55000000000000004">
      <c r="A86" s="483"/>
      <c r="B86" s="483"/>
      <c r="C86" s="483"/>
      <c r="D86" s="483"/>
      <c r="E86" s="483"/>
      <c r="F86" s="483"/>
      <c r="G86" s="483"/>
    </row>
    <row r="87" spans="1:9" ht="23.1" customHeight="1" x14ac:dyDescent="0.55000000000000004">
      <c r="A87" s="483"/>
      <c r="B87" s="483"/>
      <c r="C87" s="483"/>
      <c r="D87" s="483"/>
      <c r="E87" s="483"/>
      <c r="F87" s="483"/>
      <c r="G87" s="483"/>
    </row>
    <row r="88" spans="1:9" ht="23.1" customHeight="1" x14ac:dyDescent="0.55000000000000004">
      <c r="A88" s="199" t="s">
        <v>194</v>
      </c>
      <c r="B88" s="540" t="s">
        <v>2</v>
      </c>
      <c r="C88" s="541">
        <f>SUM(D88:F88)</f>
        <v>4680100</v>
      </c>
      <c r="D88" s="542">
        <f>D90</f>
        <v>4039310</v>
      </c>
      <c r="E88" s="542">
        <f>E90</f>
        <v>325000</v>
      </c>
      <c r="F88" s="542">
        <f>F90</f>
        <v>315790</v>
      </c>
      <c r="G88" s="483"/>
    </row>
    <row r="89" spans="1:9" ht="23.1" customHeight="1" x14ac:dyDescent="0.55000000000000004">
      <c r="A89" s="230"/>
      <c r="B89" s="537" t="s">
        <v>3</v>
      </c>
      <c r="C89" s="538"/>
      <c r="D89" s="542"/>
      <c r="E89" s="542"/>
      <c r="F89" s="542"/>
      <c r="G89" s="483"/>
    </row>
    <row r="90" spans="1:9" ht="23.1" customHeight="1" x14ac:dyDescent="0.55000000000000004">
      <c r="A90" s="199" t="s">
        <v>355</v>
      </c>
      <c r="B90" s="200" t="s">
        <v>2</v>
      </c>
      <c r="C90" s="201">
        <f>SUM(D90:F90)</f>
        <v>4680100</v>
      </c>
      <c r="D90" s="644">
        <f>D92</f>
        <v>4039310</v>
      </c>
      <c r="E90" s="644">
        <f t="shared" ref="E90:F90" si="20">E92</f>
        <v>325000</v>
      </c>
      <c r="F90" s="644">
        <f t="shared" si="20"/>
        <v>315790</v>
      </c>
      <c r="G90" s="483"/>
      <c r="H90" s="589">
        <f>F90-4680100</f>
        <v>-4364310</v>
      </c>
    </row>
    <row r="91" spans="1:9" ht="23.1" customHeight="1" x14ac:dyDescent="0.55000000000000004">
      <c r="A91" s="230"/>
      <c r="B91" s="200" t="s">
        <v>3</v>
      </c>
      <c r="C91" s="201"/>
      <c r="D91" s="202"/>
      <c r="E91" s="202"/>
      <c r="F91" s="202"/>
      <c r="G91" s="483"/>
    </row>
    <row r="92" spans="1:9" ht="23.1" customHeight="1" x14ac:dyDescent="0.55000000000000004">
      <c r="A92" s="205" t="s">
        <v>338</v>
      </c>
      <c r="B92" s="444" t="s">
        <v>2</v>
      </c>
      <c r="C92" s="445">
        <f>SUM(D92:F92)</f>
        <v>4680100</v>
      </c>
      <c r="D92" s="445">
        <f>SUM(D95:D107)</f>
        <v>4039310</v>
      </c>
      <c r="E92" s="445">
        <f>SUM(E95:E107)</f>
        <v>325000</v>
      </c>
      <c r="F92" s="445">
        <f>SUM(F95:F107)</f>
        <v>315790</v>
      </c>
      <c r="G92" s="483"/>
    </row>
    <row r="93" spans="1:9" ht="23.1" customHeight="1" x14ac:dyDescent="0.55000000000000004">
      <c r="A93" s="205"/>
      <c r="B93" s="241" t="s">
        <v>3</v>
      </c>
      <c r="C93" s="243"/>
      <c r="D93" s="243"/>
      <c r="E93" s="243"/>
      <c r="F93" s="243"/>
      <c r="G93" s="480"/>
    </row>
    <row r="94" spans="1:9" ht="23.1" customHeight="1" x14ac:dyDescent="0.55000000000000004">
      <c r="A94" s="465" t="s">
        <v>254</v>
      </c>
      <c r="B94" s="241"/>
      <c r="C94" s="243"/>
      <c r="D94" s="247"/>
      <c r="E94" s="247"/>
      <c r="F94" s="247"/>
      <c r="G94" s="253"/>
    </row>
    <row r="95" spans="1:9" ht="23.1" customHeight="1" x14ac:dyDescent="0.55000000000000004">
      <c r="A95" s="466" t="s">
        <v>105</v>
      </c>
      <c r="B95" s="241"/>
      <c r="C95" s="243"/>
      <c r="D95" s="247"/>
      <c r="E95" s="247"/>
      <c r="F95" s="247"/>
      <c r="G95" s="253"/>
    </row>
    <row r="96" spans="1:9" ht="23.1" customHeight="1" x14ac:dyDescent="0.55000000000000004">
      <c r="A96" s="208" t="s">
        <v>262</v>
      </c>
      <c r="B96" s="241" t="s">
        <v>2</v>
      </c>
      <c r="C96" s="243">
        <f>SUM(D96:F96)</f>
        <v>1198300</v>
      </c>
      <c r="D96" s="255">
        <v>882510</v>
      </c>
      <c r="E96" s="255"/>
      <c r="F96" s="255">
        <v>315790</v>
      </c>
      <c r="G96" s="483"/>
      <c r="H96" s="589">
        <v>1198300</v>
      </c>
      <c r="I96" s="615">
        <f t="shared" ref="I96:I107" si="21">H96-C96</f>
        <v>0</v>
      </c>
    </row>
    <row r="97" spans="1:9" ht="23.1" customHeight="1" x14ac:dyDescent="0.55000000000000004">
      <c r="A97" s="466" t="s">
        <v>100</v>
      </c>
      <c r="B97" s="241"/>
      <c r="C97" s="243"/>
      <c r="D97" s="247"/>
      <c r="E97" s="261"/>
      <c r="F97" s="261"/>
      <c r="G97" s="253"/>
      <c r="I97" s="615">
        <f t="shared" si="21"/>
        <v>0</v>
      </c>
    </row>
    <row r="98" spans="1:9" ht="23.1" customHeight="1" x14ac:dyDescent="0.55000000000000004">
      <c r="A98" s="208" t="s">
        <v>263</v>
      </c>
      <c r="B98" s="241" t="s">
        <v>2</v>
      </c>
      <c r="C98" s="243">
        <f>SUM(D98:F98)</f>
        <v>325000</v>
      </c>
      <c r="D98" s="255">
        <v>100000</v>
      </c>
      <c r="E98" s="261">
        <v>225000</v>
      </c>
      <c r="F98" s="261"/>
      <c r="G98" s="483"/>
      <c r="H98" s="589">
        <v>325000</v>
      </c>
      <c r="I98" s="615">
        <f t="shared" si="21"/>
        <v>0</v>
      </c>
    </row>
    <row r="99" spans="1:9" ht="23.1" hidden="1" customHeight="1" x14ac:dyDescent="0.55000000000000004">
      <c r="A99" s="208" t="s">
        <v>272</v>
      </c>
      <c r="B99" s="241" t="s">
        <v>2</v>
      </c>
      <c r="C99" s="243">
        <f>SUM(D99:F99)</f>
        <v>0</v>
      </c>
      <c r="D99" s="255"/>
      <c r="E99" s="255"/>
      <c r="F99" s="255"/>
      <c r="G99" s="483"/>
      <c r="I99" s="615">
        <f t="shared" si="21"/>
        <v>0</v>
      </c>
    </row>
    <row r="100" spans="1:9" ht="23.1" customHeight="1" x14ac:dyDescent="0.55000000000000004">
      <c r="A100" s="208" t="s">
        <v>282</v>
      </c>
      <c r="B100" s="241" t="s">
        <v>2</v>
      </c>
      <c r="C100" s="243">
        <f>SUM(D100:F100)</f>
        <v>2867000</v>
      </c>
      <c r="D100" s="255">
        <v>2867000</v>
      </c>
      <c r="E100" s="255"/>
      <c r="F100" s="255"/>
      <c r="G100" s="483"/>
      <c r="H100" s="589">
        <v>2867000</v>
      </c>
      <c r="I100" s="615">
        <f t="shared" si="21"/>
        <v>0</v>
      </c>
    </row>
    <row r="101" spans="1:9" ht="23.1" customHeight="1" x14ac:dyDescent="0.55000000000000004">
      <c r="A101" s="466" t="s">
        <v>111</v>
      </c>
      <c r="B101" s="245"/>
      <c r="C101" s="256"/>
      <c r="D101" s="521"/>
      <c r="E101" s="521"/>
      <c r="F101" s="521"/>
      <c r="G101" s="529"/>
      <c r="I101" s="615">
        <f t="shared" si="21"/>
        <v>0</v>
      </c>
    </row>
    <row r="102" spans="1:9" ht="23.1" hidden="1" customHeight="1" x14ac:dyDescent="0.55000000000000004">
      <c r="A102" s="208" t="s">
        <v>266</v>
      </c>
      <c r="B102" s="241" t="s">
        <v>2</v>
      </c>
      <c r="C102" s="251">
        <f t="shared" ref="C102" si="22">SUM(D102:F102)</f>
        <v>0</v>
      </c>
      <c r="D102" s="244"/>
      <c r="E102" s="244"/>
      <c r="F102" s="244"/>
      <c r="G102" s="235"/>
      <c r="I102" s="615">
        <f t="shared" si="21"/>
        <v>0</v>
      </c>
    </row>
    <row r="103" spans="1:9" ht="23.1" hidden="1" customHeight="1" x14ac:dyDescent="0.55000000000000004">
      <c r="A103" s="208" t="s">
        <v>278</v>
      </c>
      <c r="B103" s="241" t="s">
        <v>2</v>
      </c>
      <c r="C103" s="243">
        <f>SUM(D103:F103)</f>
        <v>0</v>
      </c>
      <c r="D103" s="255"/>
      <c r="E103" s="255"/>
      <c r="F103" s="255"/>
      <c r="G103" s="483"/>
      <c r="I103" s="615">
        <f t="shared" si="21"/>
        <v>0</v>
      </c>
    </row>
    <row r="104" spans="1:9" ht="23.1" customHeight="1" x14ac:dyDescent="0.55000000000000004">
      <c r="A104" s="208" t="s">
        <v>283</v>
      </c>
      <c r="B104" s="241" t="s">
        <v>2</v>
      </c>
      <c r="C104" s="243">
        <f>SUM(D104:F104)</f>
        <v>108000</v>
      </c>
      <c r="D104" s="255">
        <v>108000</v>
      </c>
      <c r="E104" s="255"/>
      <c r="F104" s="255"/>
      <c r="G104" s="483"/>
      <c r="H104" s="589">
        <v>108000</v>
      </c>
      <c r="I104" s="615">
        <f t="shared" si="21"/>
        <v>0</v>
      </c>
    </row>
    <row r="105" spans="1:9" ht="23.1" customHeight="1" x14ac:dyDescent="0.55000000000000004">
      <c r="A105" s="208" t="s">
        <v>284</v>
      </c>
      <c r="B105" s="241" t="s">
        <v>2</v>
      </c>
      <c r="C105" s="243">
        <f>SUM(D105:F105)</f>
        <v>50000</v>
      </c>
      <c r="D105" s="255">
        <v>50000</v>
      </c>
      <c r="E105" s="255"/>
      <c r="F105" s="255"/>
      <c r="G105" s="483"/>
      <c r="H105" s="589">
        <v>50000</v>
      </c>
      <c r="I105" s="615">
        <f t="shared" si="21"/>
        <v>0</v>
      </c>
    </row>
    <row r="106" spans="1:9" ht="23.1" customHeight="1" x14ac:dyDescent="0.55000000000000004">
      <c r="A106" s="208" t="s">
        <v>269</v>
      </c>
      <c r="B106" s="241" t="s">
        <v>2</v>
      </c>
      <c r="C106" s="243">
        <f t="shared" ref="C106" si="23">SUM(D106:F106)</f>
        <v>100000</v>
      </c>
      <c r="D106" s="255"/>
      <c r="E106" s="255">
        <v>100000</v>
      </c>
      <c r="F106" s="255"/>
      <c r="G106" s="483"/>
      <c r="H106" s="589">
        <v>100000</v>
      </c>
      <c r="I106" s="615">
        <f t="shared" si="21"/>
        <v>0</v>
      </c>
    </row>
    <row r="107" spans="1:9" ht="23.1" customHeight="1" x14ac:dyDescent="0.55000000000000004">
      <c r="A107" s="223" t="s">
        <v>273</v>
      </c>
      <c r="B107" s="449" t="s">
        <v>2</v>
      </c>
      <c r="C107" s="450">
        <f>SUM(D107:F107)</f>
        <v>31800</v>
      </c>
      <c r="D107" s="462">
        <v>31800</v>
      </c>
      <c r="E107" s="462"/>
      <c r="F107" s="462"/>
      <c r="G107" s="483"/>
      <c r="H107" s="589">
        <v>31800</v>
      </c>
      <c r="I107" s="615">
        <f t="shared" si="21"/>
        <v>0</v>
      </c>
    </row>
    <row r="108" spans="1:9" ht="23.1" customHeight="1" x14ac:dyDescent="0.55000000000000004">
      <c r="A108" s="195" t="s">
        <v>365</v>
      </c>
      <c r="B108" s="196" t="s">
        <v>2</v>
      </c>
      <c r="C108" s="197">
        <f>SUM(D108:F108)</f>
        <v>4680100</v>
      </c>
      <c r="D108" s="197">
        <f>D88</f>
        <v>4039310</v>
      </c>
      <c r="E108" s="197">
        <f>E88</f>
        <v>325000</v>
      </c>
      <c r="F108" s="214">
        <f>F88</f>
        <v>315790</v>
      </c>
      <c r="G108" s="483"/>
    </row>
    <row r="109" spans="1:9" ht="23.1" customHeight="1" x14ac:dyDescent="0.55000000000000004">
      <c r="A109" s="495"/>
      <c r="B109" s="196" t="s">
        <v>3</v>
      </c>
      <c r="C109" s="197"/>
      <c r="D109" s="198"/>
      <c r="E109" s="198"/>
      <c r="F109" s="198"/>
      <c r="G109" s="483"/>
    </row>
    <row r="110" spans="1:9" ht="23.1" customHeight="1" x14ac:dyDescent="0.55000000000000004">
      <c r="A110" s="195" t="s">
        <v>366</v>
      </c>
      <c r="B110" s="196" t="s">
        <v>2</v>
      </c>
      <c r="C110" s="197">
        <f>SUM(D110:F110)</f>
        <v>0</v>
      </c>
      <c r="D110" s="198">
        <v>0</v>
      </c>
      <c r="E110" s="198">
        <v>0</v>
      </c>
      <c r="F110" s="198">
        <v>0</v>
      </c>
      <c r="G110" s="483"/>
    </row>
    <row r="111" spans="1:9" ht="23.1" customHeight="1" x14ac:dyDescent="0.55000000000000004">
      <c r="A111" s="495"/>
      <c r="B111" s="196" t="s">
        <v>3</v>
      </c>
      <c r="C111" s="197"/>
      <c r="D111" s="198"/>
      <c r="E111" s="198"/>
      <c r="F111" s="198"/>
      <c r="G111" s="483"/>
    </row>
    <row r="112" spans="1:9" ht="23.1" customHeight="1" x14ac:dyDescent="0.55000000000000004">
      <c r="A112" s="673" t="s">
        <v>1</v>
      </c>
      <c r="B112" s="225" t="s">
        <v>2</v>
      </c>
      <c r="C112" s="226">
        <f>SUM(D112:F112)</f>
        <v>4680100</v>
      </c>
      <c r="D112" s="226">
        <f>D108+D110</f>
        <v>4039310</v>
      </c>
      <c r="E112" s="226">
        <f t="shared" ref="E112:F112" si="24">E108+E110</f>
        <v>325000</v>
      </c>
      <c r="F112" s="226">
        <f t="shared" si="24"/>
        <v>315790</v>
      </c>
      <c r="G112" s="483"/>
    </row>
    <row r="113" spans="1:8" ht="23.1" customHeight="1" x14ac:dyDescent="0.55000000000000004">
      <c r="A113" s="674"/>
      <c r="B113" s="225" t="s">
        <v>3</v>
      </c>
      <c r="C113" s="214"/>
      <c r="D113" s="215"/>
      <c r="E113" s="215"/>
      <c r="F113" s="215"/>
      <c r="G113" s="483"/>
    </row>
    <row r="114" spans="1:8" ht="23.1" customHeight="1" x14ac:dyDescent="0.55000000000000004">
      <c r="A114" s="190" t="s">
        <v>229</v>
      </c>
      <c r="B114" s="216"/>
      <c r="C114" s="217"/>
      <c r="D114" s="218"/>
      <c r="E114" s="219"/>
      <c r="F114" s="219"/>
      <c r="G114" s="483"/>
    </row>
    <row r="115" spans="1:8" ht="23.1" customHeight="1" x14ac:dyDescent="0.55000000000000004">
      <c r="C115" s="315">
        <f>C112-C88</f>
        <v>0</v>
      </c>
      <c r="D115" s="315">
        <f t="shared" ref="D115:F115" si="25">D112-D88</f>
        <v>0</v>
      </c>
      <c r="E115" s="315">
        <f t="shared" si="25"/>
        <v>0</v>
      </c>
      <c r="F115" s="315">
        <f t="shared" si="25"/>
        <v>0</v>
      </c>
    </row>
    <row r="116" spans="1:8" s="12" customFormat="1" ht="23.1" customHeight="1" x14ac:dyDescent="0.55000000000000004">
      <c r="G116" s="619">
        <f>(C92+C66+C41+C11)*30/100</f>
        <v>7634550</v>
      </c>
      <c r="H116" s="618">
        <f>D92+D73+D41+D11</f>
        <v>5576710</v>
      </c>
    </row>
    <row r="117" spans="1:8" s="12" customFormat="1" x14ac:dyDescent="0.55000000000000004">
      <c r="G117" s="617"/>
    </row>
    <row r="118" spans="1:8" s="12" customFormat="1" x14ac:dyDescent="0.55000000000000004">
      <c r="G118" s="617"/>
    </row>
    <row r="119" spans="1:8" s="12" customFormat="1" x14ac:dyDescent="0.55000000000000004">
      <c r="C119" s="617"/>
      <c r="H119" s="589"/>
    </row>
    <row r="120" spans="1:8" s="12" customFormat="1" x14ac:dyDescent="0.55000000000000004">
      <c r="C120" s="617"/>
      <c r="H120" s="589"/>
    </row>
  </sheetData>
  <mergeCells count="10">
    <mergeCell ref="A112:A113"/>
    <mergeCell ref="A1:F1"/>
    <mergeCell ref="C5:C6"/>
    <mergeCell ref="A31:A32"/>
    <mergeCell ref="A5:A6"/>
    <mergeCell ref="D5:D6"/>
    <mergeCell ref="E5:E6"/>
    <mergeCell ref="F5:F6"/>
    <mergeCell ref="A79:A80"/>
    <mergeCell ref="A51:A52"/>
  </mergeCells>
  <pageMargins left="0.59055118110236227" right="0.39370078740157483" top="0.55118110236220474" bottom="0.19685039370078741" header="0.31496062992125984" footer="0.11811023622047245"/>
  <pageSetup paperSize="9" scale="70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44589A-4706-4F9A-B143-297ED65A0AC8}">
  <sheetPr>
    <tabColor rgb="FF00B050"/>
  </sheetPr>
  <dimension ref="A1:J193"/>
  <sheetViews>
    <sheetView topLeftCell="A30" workbookViewId="0">
      <selection activeCell="C41" sqref="C41"/>
    </sheetView>
  </sheetViews>
  <sheetFormatPr defaultColWidth="9" defaultRowHeight="24" x14ac:dyDescent="0.55000000000000004"/>
  <cols>
    <col min="1" max="1" width="80.625" style="122" customWidth="1"/>
    <col min="2" max="2" width="8.125" style="122" customWidth="1"/>
    <col min="3" max="3" width="22.625" style="220" customWidth="1"/>
    <col min="4" max="6" width="22.625" style="122" customWidth="1"/>
    <col min="7" max="7" width="2.125" style="122" customWidth="1"/>
    <col min="8" max="8" width="13.375" style="589" customWidth="1"/>
    <col min="9" max="9" width="12.75" style="12" customWidth="1"/>
    <col min="10" max="18" width="39.375" style="122" customWidth="1"/>
    <col min="19" max="16384" width="9" style="122"/>
  </cols>
  <sheetData>
    <row r="1" spans="1:9" x14ac:dyDescent="0.55000000000000004">
      <c r="A1" s="672" t="s">
        <v>411</v>
      </c>
      <c r="B1" s="672"/>
      <c r="C1" s="672"/>
      <c r="D1" s="672"/>
      <c r="E1" s="672"/>
      <c r="F1" s="672"/>
      <c r="G1" s="240"/>
    </row>
    <row r="2" spans="1:9" ht="24" customHeight="1" x14ac:dyDescent="0.55000000000000004">
      <c r="A2" s="188" t="s">
        <v>55</v>
      </c>
      <c r="B2" s="188"/>
      <c r="C2" s="189"/>
      <c r="D2" s="188"/>
      <c r="E2" s="188"/>
      <c r="F2" s="188"/>
      <c r="G2" s="188"/>
    </row>
    <row r="3" spans="1:9" ht="24" customHeight="1" x14ac:dyDescent="0.55000000000000004">
      <c r="A3" s="190" t="s">
        <v>184</v>
      </c>
      <c r="B3" s="190"/>
      <c r="C3" s="191"/>
      <c r="E3" s="192"/>
      <c r="F3" s="192" t="s">
        <v>28</v>
      </c>
      <c r="G3" s="192"/>
    </row>
    <row r="4" spans="1:9" ht="9.9499999999999993" customHeight="1" x14ac:dyDescent="0.55000000000000004">
      <c r="A4" s="190"/>
      <c r="B4" s="190"/>
      <c r="C4" s="191"/>
      <c r="D4" s="192"/>
      <c r="E4" s="192"/>
      <c r="F4" s="192"/>
      <c r="G4" s="192"/>
    </row>
    <row r="5" spans="1:9" ht="26.1" customHeight="1" x14ac:dyDescent="0.5">
      <c r="A5" s="675" t="s">
        <v>13</v>
      </c>
      <c r="B5" s="193" t="s">
        <v>5</v>
      </c>
      <c r="C5" s="677" t="s">
        <v>1</v>
      </c>
      <c r="D5" s="679" t="s">
        <v>414</v>
      </c>
      <c r="E5" s="679" t="s">
        <v>415</v>
      </c>
      <c r="F5" s="679" t="s">
        <v>416</v>
      </c>
      <c r="G5" s="526"/>
      <c r="H5" s="612" t="s">
        <v>255</v>
      </c>
      <c r="I5" s="613" t="s">
        <v>381</v>
      </c>
    </row>
    <row r="6" spans="1:9" ht="26.1" customHeight="1" x14ac:dyDescent="0.2">
      <c r="A6" s="676"/>
      <c r="B6" s="194" t="s">
        <v>3</v>
      </c>
      <c r="C6" s="678"/>
      <c r="D6" s="671"/>
      <c r="E6" s="671"/>
      <c r="F6" s="671"/>
      <c r="G6" s="240"/>
      <c r="H6" s="614"/>
      <c r="I6" s="298"/>
    </row>
    <row r="7" spans="1:9" ht="26.1" customHeight="1" x14ac:dyDescent="0.55000000000000004">
      <c r="A7" s="203" t="s">
        <v>194</v>
      </c>
      <c r="B7" s="537" t="s">
        <v>2</v>
      </c>
      <c r="C7" s="538">
        <f>SUM(D7:F7)</f>
        <v>19238300</v>
      </c>
      <c r="D7" s="542">
        <f>D9</f>
        <v>7163900</v>
      </c>
      <c r="E7" s="542">
        <f>E9</f>
        <v>6060600</v>
      </c>
      <c r="F7" s="542">
        <f>F9</f>
        <v>6013800</v>
      </c>
      <c r="G7" s="240"/>
    </row>
    <row r="8" spans="1:9" ht="26.1" customHeight="1" x14ac:dyDescent="0.55000000000000004">
      <c r="A8" s="203"/>
      <c r="B8" s="537" t="s">
        <v>3</v>
      </c>
      <c r="C8" s="605"/>
      <c r="D8" s="542"/>
      <c r="E8" s="542"/>
      <c r="F8" s="542"/>
      <c r="G8" s="240"/>
    </row>
    <row r="9" spans="1:9" ht="26.1" customHeight="1" x14ac:dyDescent="0.55000000000000004">
      <c r="A9" s="199" t="s">
        <v>376</v>
      </c>
      <c r="B9" s="200" t="s">
        <v>2</v>
      </c>
      <c r="C9" s="645">
        <f>SUM(D9:F9)</f>
        <v>19238300</v>
      </c>
      <c r="D9" s="644">
        <f>D11</f>
        <v>7163900</v>
      </c>
      <c r="E9" s="644">
        <f>E11</f>
        <v>6060600</v>
      </c>
      <c r="F9" s="644">
        <f>F11</f>
        <v>6013800</v>
      </c>
      <c r="G9" s="240"/>
      <c r="H9" s="589">
        <f>F9-19238300</f>
        <v>-13224500</v>
      </c>
    </row>
    <row r="10" spans="1:9" ht="26.1" customHeight="1" x14ac:dyDescent="0.55000000000000004">
      <c r="A10" s="230"/>
      <c r="B10" s="200" t="s">
        <v>3</v>
      </c>
      <c r="C10" s="201"/>
      <c r="D10" s="202"/>
      <c r="E10" s="202"/>
      <c r="F10" s="202"/>
      <c r="G10" s="240"/>
    </row>
    <row r="11" spans="1:9" ht="26.1" customHeight="1" x14ac:dyDescent="0.55000000000000004">
      <c r="A11" s="205" t="s">
        <v>338</v>
      </c>
      <c r="B11" s="525" t="s">
        <v>2</v>
      </c>
      <c r="C11" s="248">
        <f>SUM(D11:F11)</f>
        <v>19238300</v>
      </c>
      <c r="D11" s="248">
        <f>SUM(D15:D40)</f>
        <v>7163900</v>
      </c>
      <c r="E11" s="248">
        <f>SUM(E15:E40)</f>
        <v>6060600</v>
      </c>
      <c r="F11" s="248">
        <f>SUM(F15:F40)</f>
        <v>6013800</v>
      </c>
      <c r="G11" s="240"/>
    </row>
    <row r="12" spans="1:9" ht="26.1" customHeight="1" x14ac:dyDescent="0.55000000000000004">
      <c r="A12" s="479"/>
      <c r="B12" s="524" t="s">
        <v>3</v>
      </c>
      <c r="C12" s="243"/>
      <c r="D12" s="243"/>
      <c r="E12" s="243"/>
      <c r="F12" s="243"/>
      <c r="G12" s="480"/>
    </row>
    <row r="13" spans="1:9" ht="26.1" customHeight="1" x14ac:dyDescent="0.55000000000000004">
      <c r="A13" s="206" t="s">
        <v>38</v>
      </c>
      <c r="B13" s="241"/>
      <c r="C13" s="243"/>
      <c r="D13" s="247"/>
      <c r="E13" s="247"/>
      <c r="F13" s="247"/>
      <c r="G13" s="253"/>
    </row>
    <row r="14" spans="1:9" ht="26.1" customHeight="1" x14ac:dyDescent="0.55000000000000004">
      <c r="A14" s="207" t="s">
        <v>9</v>
      </c>
      <c r="B14" s="241"/>
      <c r="C14" s="243"/>
      <c r="D14" s="247"/>
      <c r="E14" s="247"/>
      <c r="F14" s="247"/>
      <c r="G14" s="253"/>
    </row>
    <row r="15" spans="1:9" ht="26.1" customHeight="1" x14ac:dyDescent="0.55000000000000004">
      <c r="A15" s="208" t="s">
        <v>262</v>
      </c>
      <c r="B15" s="241" t="s">
        <v>2</v>
      </c>
      <c r="C15" s="243">
        <f>SUM(D15:F15)</f>
        <v>833600</v>
      </c>
      <c r="D15" s="255">
        <v>280000</v>
      </c>
      <c r="E15" s="255">
        <v>280000</v>
      </c>
      <c r="F15" s="255">
        <f>280000-6400</f>
        <v>273600</v>
      </c>
      <c r="G15" s="483"/>
      <c r="H15" s="589">
        <v>833600</v>
      </c>
      <c r="I15" s="615">
        <f t="shared" ref="I15:I40" si="0">H15-C15</f>
        <v>0</v>
      </c>
    </row>
    <row r="16" spans="1:9" ht="26.1" customHeight="1" x14ac:dyDescent="0.55000000000000004">
      <c r="A16" s="208" t="s">
        <v>285</v>
      </c>
      <c r="B16" s="241" t="s">
        <v>2</v>
      </c>
      <c r="C16" s="243">
        <f>SUM(D16:F16)</f>
        <v>7898400</v>
      </c>
      <c r="D16" s="255">
        <v>2632800</v>
      </c>
      <c r="E16" s="255">
        <v>2632800</v>
      </c>
      <c r="F16" s="255">
        <v>2632800</v>
      </c>
      <c r="G16" s="483"/>
      <c r="H16" s="589">
        <v>7898400</v>
      </c>
      <c r="I16" s="615">
        <f>H16-C16</f>
        <v>0</v>
      </c>
    </row>
    <row r="17" spans="1:9" ht="26.1" customHeight="1" x14ac:dyDescent="0.55000000000000004">
      <c r="A17" s="208" t="s">
        <v>286</v>
      </c>
      <c r="B17" s="241" t="s">
        <v>2</v>
      </c>
      <c r="C17" s="243">
        <f>SUM(D17:F17)</f>
        <v>890000</v>
      </c>
      <c r="D17" s="255">
        <v>300000</v>
      </c>
      <c r="E17" s="255">
        <v>300000</v>
      </c>
      <c r="F17" s="255">
        <v>290000</v>
      </c>
      <c r="G17" s="483"/>
      <c r="H17" s="589">
        <v>890000</v>
      </c>
      <c r="I17" s="615">
        <f>H17-C17</f>
        <v>0</v>
      </c>
    </row>
    <row r="18" spans="1:9" ht="26.1" customHeight="1" x14ac:dyDescent="0.55000000000000004">
      <c r="A18" s="208" t="s">
        <v>419</v>
      </c>
      <c r="B18" s="241" t="s">
        <v>2</v>
      </c>
      <c r="C18" s="243">
        <f>SUM(D18:F18)</f>
        <v>2016000</v>
      </c>
      <c r="D18" s="255">
        <v>672000</v>
      </c>
      <c r="E18" s="255">
        <v>672000</v>
      </c>
      <c r="F18" s="255">
        <v>672000</v>
      </c>
      <c r="G18" s="483"/>
      <c r="H18" s="589">
        <v>2016000</v>
      </c>
      <c r="I18" s="615">
        <f>H18-C18</f>
        <v>0</v>
      </c>
    </row>
    <row r="19" spans="1:9" ht="26.1" customHeight="1" x14ac:dyDescent="0.55000000000000004">
      <c r="A19" s="207" t="s">
        <v>10</v>
      </c>
      <c r="B19" s="241"/>
      <c r="C19" s="243"/>
      <c r="D19" s="247"/>
      <c r="E19" s="247"/>
      <c r="F19" s="247"/>
      <c r="G19" s="253"/>
      <c r="I19" s="615">
        <f t="shared" si="0"/>
        <v>0</v>
      </c>
    </row>
    <row r="20" spans="1:9" ht="26.1" customHeight="1" x14ac:dyDescent="0.55000000000000004">
      <c r="A20" s="208" t="s">
        <v>263</v>
      </c>
      <c r="B20" s="241" t="s">
        <v>2</v>
      </c>
      <c r="C20" s="243">
        <f>SUM(D20:F20)</f>
        <v>36200</v>
      </c>
      <c r="D20" s="255">
        <v>36200</v>
      </c>
      <c r="E20" s="255"/>
      <c r="F20" s="255"/>
      <c r="G20" s="483"/>
      <c r="H20" s="589">
        <v>36200</v>
      </c>
      <c r="I20" s="615">
        <f t="shared" si="0"/>
        <v>0</v>
      </c>
    </row>
    <row r="21" spans="1:9" ht="26.1" customHeight="1" x14ac:dyDescent="0.55000000000000004">
      <c r="A21" s="208" t="s">
        <v>287</v>
      </c>
      <c r="B21" s="241" t="s">
        <v>2</v>
      </c>
      <c r="C21" s="243">
        <f>SUM(D21:F21)</f>
        <v>36000</v>
      </c>
      <c r="D21" s="255">
        <v>12000</v>
      </c>
      <c r="E21" s="255">
        <v>12000</v>
      </c>
      <c r="F21" s="255">
        <v>12000</v>
      </c>
      <c r="G21" s="483"/>
      <c r="H21" s="589">
        <v>36000</v>
      </c>
      <c r="I21" s="615">
        <f t="shared" si="0"/>
        <v>0</v>
      </c>
    </row>
    <row r="22" spans="1:9" ht="26.1" customHeight="1" x14ac:dyDescent="0.55000000000000004">
      <c r="A22" s="208" t="s">
        <v>288</v>
      </c>
      <c r="B22" s="241" t="s">
        <v>2</v>
      </c>
      <c r="C22" s="243">
        <f>SUM(D22:F22)</f>
        <v>26200</v>
      </c>
      <c r="D22" s="255">
        <v>9000</v>
      </c>
      <c r="E22" s="255">
        <v>9000</v>
      </c>
      <c r="F22" s="255">
        <v>8200</v>
      </c>
      <c r="G22" s="483"/>
      <c r="H22" s="589">
        <v>26200</v>
      </c>
      <c r="I22" s="615">
        <f t="shared" si="0"/>
        <v>0</v>
      </c>
    </row>
    <row r="23" spans="1:9" ht="26.1" customHeight="1" x14ac:dyDescent="0.55000000000000004">
      <c r="A23" s="208" t="s">
        <v>264</v>
      </c>
      <c r="B23" s="245" t="s">
        <v>2</v>
      </c>
      <c r="C23" s="256">
        <f>SUM(D23:F23)</f>
        <v>34800</v>
      </c>
      <c r="D23" s="255">
        <v>15000</v>
      </c>
      <c r="E23" s="443">
        <v>19800</v>
      </c>
      <c r="F23" s="443"/>
      <c r="G23" s="483"/>
      <c r="H23" s="589">
        <v>34800</v>
      </c>
      <c r="I23" s="615">
        <f t="shared" si="0"/>
        <v>0</v>
      </c>
    </row>
    <row r="24" spans="1:9" ht="26.1" customHeight="1" x14ac:dyDescent="0.55000000000000004">
      <c r="A24" s="223" t="s">
        <v>289</v>
      </c>
      <c r="B24" s="449" t="s">
        <v>2</v>
      </c>
      <c r="C24" s="450">
        <f>SUM(D24:F24)</f>
        <v>432000</v>
      </c>
      <c r="D24" s="462">
        <v>432000</v>
      </c>
      <c r="E24" s="462"/>
      <c r="F24" s="462"/>
      <c r="G24" s="483"/>
      <c r="H24" s="589">
        <v>432000</v>
      </c>
      <c r="I24" s="615">
        <f t="shared" si="0"/>
        <v>0</v>
      </c>
    </row>
    <row r="25" spans="1:9" ht="24.95" customHeight="1" x14ac:dyDescent="0.55000000000000004">
      <c r="A25" s="483"/>
      <c r="B25" s="483"/>
      <c r="C25" s="483"/>
      <c r="D25" s="483"/>
      <c r="E25" s="483"/>
      <c r="F25" s="483"/>
      <c r="G25" s="483"/>
      <c r="I25" s="615">
        <f t="shared" si="0"/>
        <v>0</v>
      </c>
    </row>
    <row r="26" spans="1:9" ht="24.95" customHeight="1" x14ac:dyDescent="0.55000000000000004">
      <c r="A26" s="483"/>
      <c r="B26" s="483"/>
      <c r="C26" s="483"/>
      <c r="D26" s="483"/>
      <c r="E26" s="483"/>
      <c r="F26" s="483"/>
      <c r="G26" s="483"/>
      <c r="I26" s="615">
        <f t="shared" si="0"/>
        <v>0</v>
      </c>
    </row>
    <row r="27" spans="1:9" ht="24.95" customHeight="1" x14ac:dyDescent="0.55000000000000004">
      <c r="A27" s="483"/>
      <c r="B27" s="483"/>
      <c r="C27" s="483"/>
      <c r="D27" s="483"/>
      <c r="E27" s="483"/>
      <c r="F27" s="483"/>
      <c r="G27" s="483"/>
      <c r="I27" s="615"/>
    </row>
    <row r="28" spans="1:9" ht="24.95" customHeight="1" x14ac:dyDescent="0.55000000000000004">
      <c r="A28" s="483"/>
      <c r="B28" s="483"/>
      <c r="C28" s="483"/>
      <c r="D28" s="483"/>
      <c r="E28" s="483"/>
      <c r="F28" s="483"/>
      <c r="G28" s="483"/>
      <c r="I28" s="615"/>
    </row>
    <row r="29" spans="1:9" ht="24.95" customHeight="1" x14ac:dyDescent="0.55000000000000004">
      <c r="A29" s="483"/>
      <c r="B29" s="483"/>
      <c r="C29" s="483"/>
      <c r="D29" s="483"/>
      <c r="E29" s="483"/>
      <c r="F29" s="483"/>
      <c r="G29" s="483"/>
      <c r="I29" s="615">
        <f t="shared" si="0"/>
        <v>0</v>
      </c>
    </row>
    <row r="30" spans="1:9" ht="24.95" customHeight="1" x14ac:dyDescent="0.55000000000000004">
      <c r="A30" s="483"/>
      <c r="B30" s="483"/>
      <c r="C30" s="483"/>
      <c r="D30" s="483"/>
      <c r="E30" s="483"/>
      <c r="F30" s="483"/>
      <c r="G30" s="483"/>
      <c r="I30" s="615">
        <f t="shared" si="0"/>
        <v>0</v>
      </c>
    </row>
    <row r="31" spans="1:9" ht="24.95" customHeight="1" x14ac:dyDescent="0.55000000000000004">
      <c r="A31" s="446" t="s">
        <v>11</v>
      </c>
      <c r="B31" s="447"/>
      <c r="C31" s="481"/>
      <c r="D31" s="448"/>
      <c r="E31" s="448"/>
      <c r="F31" s="448"/>
      <c r="G31" s="529"/>
      <c r="I31" s="615">
        <f t="shared" si="0"/>
        <v>0</v>
      </c>
    </row>
    <row r="32" spans="1:9" ht="24.95" hidden="1" customHeight="1" x14ac:dyDescent="0.55000000000000004">
      <c r="A32" s="208" t="s">
        <v>266</v>
      </c>
      <c r="B32" s="241" t="s">
        <v>2</v>
      </c>
      <c r="C32" s="251">
        <f t="shared" ref="C32:C41" si="1">SUM(D32:F32)</f>
        <v>0</v>
      </c>
      <c r="D32" s="244"/>
      <c r="E32" s="244"/>
      <c r="F32" s="244"/>
      <c r="G32" s="235"/>
      <c r="I32" s="615">
        <f t="shared" si="0"/>
        <v>0</v>
      </c>
    </row>
    <row r="33" spans="1:9" ht="24.95" customHeight="1" x14ac:dyDescent="0.55000000000000004">
      <c r="A33" s="208" t="s">
        <v>436</v>
      </c>
      <c r="B33" s="241" t="s">
        <v>2</v>
      </c>
      <c r="C33" s="243">
        <f t="shared" si="1"/>
        <v>195000</v>
      </c>
      <c r="D33" s="255">
        <v>65000</v>
      </c>
      <c r="E33" s="255">
        <v>65000</v>
      </c>
      <c r="F33" s="255">
        <v>65000</v>
      </c>
      <c r="G33" s="483"/>
      <c r="H33" s="589">
        <v>195000</v>
      </c>
      <c r="I33" s="615">
        <f t="shared" si="0"/>
        <v>0</v>
      </c>
    </row>
    <row r="34" spans="1:9" ht="24.95" customHeight="1" x14ac:dyDescent="0.55000000000000004">
      <c r="A34" s="208" t="s">
        <v>267</v>
      </c>
      <c r="B34" s="241" t="s">
        <v>2</v>
      </c>
      <c r="C34" s="243">
        <f t="shared" si="1"/>
        <v>70000</v>
      </c>
      <c r="D34" s="255">
        <v>30000</v>
      </c>
      <c r="E34" s="255">
        <v>20000</v>
      </c>
      <c r="F34" s="255">
        <v>20000</v>
      </c>
      <c r="G34" s="483"/>
      <c r="H34" s="589">
        <v>70000</v>
      </c>
      <c r="I34" s="615">
        <f t="shared" si="0"/>
        <v>0</v>
      </c>
    </row>
    <row r="35" spans="1:9" ht="24.95" customHeight="1" x14ac:dyDescent="0.55000000000000004">
      <c r="A35" s="208" t="s">
        <v>268</v>
      </c>
      <c r="B35" s="241" t="s">
        <v>2</v>
      </c>
      <c r="C35" s="243">
        <f t="shared" si="1"/>
        <v>24000</v>
      </c>
      <c r="D35" s="255">
        <v>24000</v>
      </c>
      <c r="E35" s="255"/>
      <c r="F35" s="255"/>
      <c r="G35" s="483"/>
      <c r="H35" s="589">
        <v>24000</v>
      </c>
      <c r="I35" s="615">
        <f t="shared" si="0"/>
        <v>0</v>
      </c>
    </row>
    <row r="36" spans="1:9" ht="24.95" customHeight="1" x14ac:dyDescent="0.55000000000000004">
      <c r="A36" s="208" t="s">
        <v>269</v>
      </c>
      <c r="B36" s="241" t="s">
        <v>2</v>
      </c>
      <c r="C36" s="243">
        <f t="shared" si="1"/>
        <v>4400</v>
      </c>
      <c r="D36" s="255">
        <v>4400</v>
      </c>
      <c r="E36" s="255"/>
      <c r="F36" s="255"/>
      <c r="G36" s="483"/>
      <c r="H36" s="589">
        <v>4400</v>
      </c>
      <c r="I36" s="615">
        <f t="shared" si="0"/>
        <v>0</v>
      </c>
    </row>
    <row r="37" spans="1:9" ht="23.1" customHeight="1" x14ac:dyDescent="0.55000000000000004">
      <c r="A37" s="208" t="s">
        <v>442</v>
      </c>
      <c r="B37" s="241" t="s">
        <v>2</v>
      </c>
      <c r="C37" s="243">
        <f t="shared" si="1"/>
        <v>108000</v>
      </c>
      <c r="D37" s="255">
        <v>108000</v>
      </c>
      <c r="E37" s="255"/>
      <c r="F37" s="255"/>
      <c r="G37" s="483"/>
      <c r="H37" s="589">
        <v>108000</v>
      </c>
      <c r="I37" s="615">
        <f t="shared" si="0"/>
        <v>0</v>
      </c>
    </row>
    <row r="38" spans="1:9" ht="23.1" customHeight="1" x14ac:dyDescent="0.55000000000000004">
      <c r="A38" s="208" t="s">
        <v>420</v>
      </c>
      <c r="B38" s="241" t="s">
        <v>2</v>
      </c>
      <c r="C38" s="243">
        <f t="shared" si="1"/>
        <v>468000</v>
      </c>
      <c r="D38" s="255">
        <v>468000</v>
      </c>
      <c r="E38" s="255"/>
      <c r="F38" s="255"/>
      <c r="G38" s="483"/>
      <c r="H38" s="589">
        <v>468000</v>
      </c>
      <c r="I38" s="615">
        <f t="shared" si="0"/>
        <v>0</v>
      </c>
    </row>
    <row r="39" spans="1:9" ht="23.1" customHeight="1" x14ac:dyDescent="0.55000000000000004">
      <c r="A39" s="208" t="s">
        <v>290</v>
      </c>
      <c r="B39" s="241" t="s">
        <v>2</v>
      </c>
      <c r="C39" s="243">
        <f t="shared" si="1"/>
        <v>25500</v>
      </c>
      <c r="D39" s="255">
        <v>25500</v>
      </c>
      <c r="E39" s="255"/>
      <c r="F39" s="255"/>
      <c r="G39" s="483"/>
      <c r="H39" s="589">
        <v>25500</v>
      </c>
      <c r="I39" s="615">
        <f t="shared" si="0"/>
        <v>0</v>
      </c>
    </row>
    <row r="40" spans="1:9" ht="23.1" customHeight="1" x14ac:dyDescent="0.55000000000000004">
      <c r="A40" s="208" t="s">
        <v>393</v>
      </c>
      <c r="B40" s="444" t="s">
        <v>2</v>
      </c>
      <c r="C40" s="445">
        <f t="shared" si="1"/>
        <v>6140200</v>
      </c>
      <c r="D40" s="633">
        <v>2050000</v>
      </c>
      <c r="E40" s="633">
        <v>2050000</v>
      </c>
      <c r="F40" s="633">
        <f>2050000-9800</f>
        <v>2040200</v>
      </c>
      <c r="G40" s="483"/>
      <c r="H40" s="589">
        <v>6140200</v>
      </c>
      <c r="I40" s="615">
        <f t="shared" si="0"/>
        <v>0</v>
      </c>
    </row>
    <row r="41" spans="1:9" ht="24.95" customHeight="1" x14ac:dyDescent="0.55000000000000004">
      <c r="A41" s="468" t="s">
        <v>365</v>
      </c>
      <c r="B41" s="587" t="s">
        <v>2</v>
      </c>
      <c r="C41" s="266">
        <f t="shared" si="1"/>
        <v>19238300</v>
      </c>
      <c r="D41" s="266">
        <f>D7</f>
        <v>7163900</v>
      </c>
      <c r="E41" s="266">
        <f>E7</f>
        <v>6060600</v>
      </c>
      <c r="F41" s="226">
        <f>F7</f>
        <v>6013800</v>
      </c>
      <c r="G41" s="483"/>
      <c r="I41" s="615"/>
    </row>
    <row r="42" spans="1:9" ht="24.95" customHeight="1" x14ac:dyDescent="0.55000000000000004">
      <c r="A42" s="495"/>
      <c r="B42" s="196" t="s">
        <v>3</v>
      </c>
      <c r="C42" s="197"/>
      <c r="D42" s="198"/>
      <c r="E42" s="198"/>
      <c r="F42" s="198"/>
      <c r="G42" s="483"/>
      <c r="H42" s="589">
        <f>D40/3</f>
        <v>683333.33333333337</v>
      </c>
      <c r="I42" s="615"/>
    </row>
    <row r="43" spans="1:9" ht="24.95" customHeight="1" x14ac:dyDescent="0.55000000000000004">
      <c r="A43" s="195" t="s">
        <v>366</v>
      </c>
      <c r="B43" s="196" t="s">
        <v>2</v>
      </c>
      <c r="C43" s="197">
        <f>SUM(D43:F43)</f>
        <v>0</v>
      </c>
      <c r="D43" s="198">
        <v>0</v>
      </c>
      <c r="E43" s="198">
        <v>0</v>
      </c>
      <c r="F43" s="198">
        <v>0</v>
      </c>
      <c r="G43" s="483"/>
      <c r="I43" s="615">
        <f>H43-C43</f>
        <v>0</v>
      </c>
    </row>
    <row r="44" spans="1:9" ht="24.95" customHeight="1" x14ac:dyDescent="0.55000000000000004">
      <c r="A44" s="495"/>
      <c r="B44" s="196" t="s">
        <v>3</v>
      </c>
      <c r="C44" s="197"/>
      <c r="D44" s="198"/>
      <c r="E44" s="198"/>
      <c r="F44" s="198"/>
      <c r="G44" s="483"/>
      <c r="I44" s="615">
        <f>H44-C44</f>
        <v>0</v>
      </c>
    </row>
    <row r="45" spans="1:9" ht="24.95" customHeight="1" x14ac:dyDescent="0.55000000000000004">
      <c r="A45" s="673" t="s">
        <v>1</v>
      </c>
      <c r="B45" s="225" t="s">
        <v>2</v>
      </c>
      <c r="C45" s="226">
        <f>SUM(D45:F45)</f>
        <v>19238300</v>
      </c>
      <c r="D45" s="226">
        <f>D41+D43</f>
        <v>7163900</v>
      </c>
      <c r="E45" s="226">
        <f>E41+E43</f>
        <v>6060600</v>
      </c>
      <c r="F45" s="226">
        <f>F41+F43</f>
        <v>6013800</v>
      </c>
      <c r="G45" s="483"/>
      <c r="I45" s="615"/>
    </row>
    <row r="46" spans="1:9" ht="24.95" customHeight="1" x14ac:dyDescent="0.55000000000000004">
      <c r="A46" s="674"/>
      <c r="B46" s="225" t="s">
        <v>3</v>
      </c>
      <c r="C46" s="226"/>
      <c r="D46" s="227"/>
      <c r="E46" s="227"/>
      <c r="F46" s="227"/>
      <c r="G46" s="483"/>
      <c r="I46" s="615">
        <f t="shared" ref="I46:I64" si="2">H46-C46</f>
        <v>0</v>
      </c>
    </row>
    <row r="47" spans="1:9" ht="26.25" customHeight="1" x14ac:dyDescent="0.55000000000000004">
      <c r="A47" s="190" t="s">
        <v>378</v>
      </c>
      <c r="B47" s="240"/>
      <c r="C47" s="480"/>
      <c r="D47" s="467"/>
      <c r="E47" s="467"/>
      <c r="F47" s="467"/>
      <c r="G47" s="588"/>
      <c r="I47" s="615">
        <f t="shared" si="2"/>
        <v>0</v>
      </c>
    </row>
    <row r="48" spans="1:9" ht="21" customHeight="1" x14ac:dyDescent="0.55000000000000004">
      <c r="A48" s="240"/>
      <c r="B48" s="240"/>
      <c r="C48" s="480">
        <f>C45-C7</f>
        <v>0</v>
      </c>
      <c r="D48" s="480">
        <f>D45-D7</f>
        <v>0</v>
      </c>
      <c r="E48" s="480">
        <f>E45-E7</f>
        <v>0</v>
      </c>
      <c r="F48" s="480">
        <f>F45-F7</f>
        <v>0</v>
      </c>
      <c r="G48" s="588"/>
      <c r="I48" s="615">
        <f t="shared" si="2"/>
        <v>0</v>
      </c>
    </row>
    <row r="49" spans="1:9" ht="21" customHeight="1" x14ac:dyDescent="0.55000000000000004">
      <c r="A49" s="240"/>
      <c r="B49" s="240"/>
      <c r="C49" s="480"/>
      <c r="D49" s="467"/>
      <c r="E49" s="467"/>
      <c r="F49" s="467"/>
      <c r="G49" s="588"/>
      <c r="I49" s="615">
        <f t="shared" si="2"/>
        <v>0</v>
      </c>
    </row>
    <row r="50" spans="1:9" ht="21" customHeight="1" x14ac:dyDescent="0.55000000000000004">
      <c r="A50" s="240"/>
      <c r="B50" s="240"/>
      <c r="C50" s="480"/>
      <c r="D50" s="467"/>
      <c r="E50" s="467"/>
      <c r="F50" s="467"/>
      <c r="G50" s="588"/>
      <c r="I50" s="615">
        <f t="shared" si="2"/>
        <v>0</v>
      </c>
    </row>
    <row r="51" spans="1:9" ht="21" customHeight="1" x14ac:dyDescent="0.55000000000000004">
      <c r="A51" s="240"/>
      <c r="B51" s="240"/>
      <c r="C51" s="480"/>
      <c r="D51" s="467"/>
      <c r="E51" s="467"/>
      <c r="F51" s="467"/>
      <c r="G51" s="588"/>
      <c r="I51" s="615">
        <f t="shared" si="2"/>
        <v>0</v>
      </c>
    </row>
    <row r="52" spans="1:9" ht="21" customHeight="1" x14ac:dyDescent="0.55000000000000004">
      <c r="A52" s="240"/>
      <c r="B52" s="240"/>
      <c r="C52" s="480"/>
      <c r="D52" s="467"/>
      <c r="E52" s="467"/>
      <c r="F52" s="467"/>
      <c r="G52" s="588"/>
      <c r="I52" s="615">
        <f t="shared" si="2"/>
        <v>0</v>
      </c>
    </row>
    <row r="53" spans="1:9" ht="21" customHeight="1" x14ac:dyDescent="0.55000000000000004">
      <c r="A53" s="240"/>
      <c r="B53" s="240"/>
      <c r="C53" s="480"/>
      <c r="D53" s="467"/>
      <c r="E53" s="467"/>
      <c r="F53" s="467"/>
      <c r="G53" s="588"/>
      <c r="I53" s="615">
        <f t="shared" si="2"/>
        <v>0</v>
      </c>
    </row>
    <row r="54" spans="1:9" ht="21" customHeight="1" x14ac:dyDescent="0.55000000000000004">
      <c r="A54" s="240"/>
      <c r="B54" s="240"/>
      <c r="C54" s="480"/>
      <c r="D54" s="467"/>
      <c r="E54" s="467"/>
      <c r="F54" s="467"/>
      <c r="G54" s="588"/>
      <c r="I54" s="615"/>
    </row>
    <row r="55" spans="1:9" ht="21" customHeight="1" x14ac:dyDescent="0.55000000000000004">
      <c r="A55" s="240"/>
      <c r="B55" s="240"/>
      <c r="C55" s="480"/>
      <c r="D55" s="467"/>
      <c r="E55" s="467"/>
      <c r="F55" s="467"/>
      <c r="G55" s="588"/>
      <c r="I55" s="615">
        <f t="shared" si="2"/>
        <v>0</v>
      </c>
    </row>
    <row r="56" spans="1:9" ht="21" customHeight="1" x14ac:dyDescent="0.55000000000000004">
      <c r="A56" s="240"/>
      <c r="B56" s="240"/>
      <c r="C56" s="480"/>
      <c r="D56" s="467"/>
      <c r="E56" s="467"/>
      <c r="F56" s="467"/>
      <c r="G56" s="588"/>
      <c r="I56" s="615">
        <f t="shared" si="2"/>
        <v>0</v>
      </c>
    </row>
    <row r="57" spans="1:9" ht="21" customHeight="1" x14ac:dyDescent="0.55000000000000004">
      <c r="A57" s="240"/>
      <c r="B57" s="240"/>
      <c r="C57" s="480"/>
      <c r="D57" s="467"/>
      <c r="E57" s="467"/>
      <c r="F57" s="467"/>
      <c r="G57" s="588"/>
      <c r="I57" s="615">
        <f t="shared" si="2"/>
        <v>0</v>
      </c>
    </row>
    <row r="58" spans="1:9" ht="21.95" customHeight="1" x14ac:dyDescent="0.55000000000000004">
      <c r="A58" s="199" t="s">
        <v>194</v>
      </c>
      <c r="B58" s="540" t="s">
        <v>2</v>
      </c>
      <c r="C58" s="593">
        <f>C60</f>
        <v>15907000</v>
      </c>
      <c r="D58" s="593">
        <f>D60</f>
        <v>5324900</v>
      </c>
      <c r="E58" s="593">
        <f>E60</f>
        <v>5445100</v>
      </c>
      <c r="F58" s="470">
        <f>F60</f>
        <v>5137000</v>
      </c>
      <c r="G58" s="483"/>
      <c r="I58" s="615"/>
    </row>
    <row r="59" spans="1:9" ht="21.95" customHeight="1" x14ac:dyDescent="0.55000000000000004">
      <c r="A59" s="203"/>
      <c r="B59" s="537" t="s">
        <v>3</v>
      </c>
      <c r="C59" s="546"/>
      <c r="D59" s="542"/>
      <c r="E59" s="542"/>
      <c r="F59" s="542"/>
      <c r="G59" s="483"/>
      <c r="I59" s="615"/>
    </row>
    <row r="60" spans="1:9" ht="21.95" customHeight="1" x14ac:dyDescent="0.55000000000000004">
      <c r="A60" s="199" t="s">
        <v>377</v>
      </c>
      <c r="B60" s="200" t="s">
        <v>2</v>
      </c>
      <c r="C60" s="470">
        <f>SUM(D60:F60)</f>
        <v>15907000</v>
      </c>
      <c r="D60" s="470">
        <f>D62+D70</f>
        <v>5324900</v>
      </c>
      <c r="E60" s="470">
        <f>E62+E70</f>
        <v>5445100</v>
      </c>
      <c r="F60" s="470">
        <f>F62+F70</f>
        <v>5137000</v>
      </c>
      <c r="G60" s="483"/>
      <c r="I60" s="615"/>
    </row>
    <row r="61" spans="1:9" ht="21.95" customHeight="1" x14ac:dyDescent="0.55000000000000004">
      <c r="A61" s="230"/>
      <c r="B61" s="200" t="s">
        <v>3</v>
      </c>
      <c r="C61" s="470"/>
      <c r="D61" s="202"/>
      <c r="E61" s="202"/>
      <c r="F61" s="202"/>
      <c r="G61" s="483"/>
      <c r="I61" s="615">
        <f t="shared" si="2"/>
        <v>0</v>
      </c>
    </row>
    <row r="62" spans="1:9" ht="21.95" customHeight="1" x14ac:dyDescent="0.55000000000000004">
      <c r="A62" s="205" t="s">
        <v>338</v>
      </c>
      <c r="B62" s="525" t="s">
        <v>2</v>
      </c>
      <c r="C62" s="471">
        <f>SUM(D62:F62)</f>
        <v>5327900</v>
      </c>
      <c r="D62" s="471">
        <f>SUM(D66:D69)</f>
        <v>1786000</v>
      </c>
      <c r="E62" s="471">
        <f>SUM(E66:E69)</f>
        <v>1786000</v>
      </c>
      <c r="F62" s="471">
        <f>SUM(F66:F69)</f>
        <v>1755900</v>
      </c>
      <c r="G62" s="483"/>
      <c r="H62" s="589">
        <f>C62</f>
        <v>5327900</v>
      </c>
      <c r="I62" s="615">
        <f t="shared" si="2"/>
        <v>0</v>
      </c>
    </row>
    <row r="63" spans="1:9" ht="21.95" customHeight="1" x14ac:dyDescent="0.55000000000000004">
      <c r="A63" s="479"/>
      <c r="B63" s="524" t="s">
        <v>3</v>
      </c>
      <c r="C63" s="496"/>
      <c r="D63" s="255"/>
      <c r="E63" s="255"/>
      <c r="F63" s="255"/>
      <c r="G63" s="483"/>
      <c r="I63" s="615">
        <f t="shared" si="2"/>
        <v>0</v>
      </c>
    </row>
    <row r="64" spans="1:9" ht="21.95" customHeight="1" x14ac:dyDescent="0.55000000000000004">
      <c r="A64" s="206" t="s">
        <v>38</v>
      </c>
      <c r="B64" s="241"/>
      <c r="C64" s="496"/>
      <c r="D64" s="254"/>
      <c r="E64" s="254"/>
      <c r="F64" s="254"/>
      <c r="G64" s="529"/>
      <c r="I64" s="615">
        <f t="shared" si="2"/>
        <v>0</v>
      </c>
    </row>
    <row r="65" spans="1:10" ht="21.95" customHeight="1" x14ac:dyDescent="0.55000000000000004">
      <c r="A65" s="207" t="s">
        <v>9</v>
      </c>
      <c r="B65" s="241"/>
      <c r="C65" s="243"/>
      <c r="D65" s="247"/>
      <c r="E65" s="247"/>
      <c r="F65" s="247"/>
      <c r="G65" s="253"/>
    </row>
    <row r="66" spans="1:10" ht="21.95" customHeight="1" x14ac:dyDescent="0.55000000000000004">
      <c r="A66" s="208" t="s">
        <v>421</v>
      </c>
      <c r="B66" s="241" t="s">
        <v>2</v>
      </c>
      <c r="C66" s="243">
        <f>SUM(D66:F66)</f>
        <v>534700</v>
      </c>
      <c r="D66" s="255">
        <v>180000</v>
      </c>
      <c r="E66" s="255">
        <v>180000</v>
      </c>
      <c r="F66" s="255">
        <v>174700</v>
      </c>
      <c r="G66" s="483"/>
      <c r="H66" s="589">
        <v>534700</v>
      </c>
      <c r="I66" s="615">
        <f>H66-C66</f>
        <v>0</v>
      </c>
    </row>
    <row r="67" spans="1:10" ht="21.95" customHeight="1" x14ac:dyDescent="0.55000000000000004">
      <c r="A67" s="208" t="s">
        <v>385</v>
      </c>
      <c r="B67" s="245" t="s">
        <v>2</v>
      </c>
      <c r="C67" s="256">
        <f>SUM(D67:F67)</f>
        <v>605200</v>
      </c>
      <c r="D67" s="443">
        <v>210000</v>
      </c>
      <c r="E67" s="443">
        <v>210000</v>
      </c>
      <c r="F67" s="443">
        <v>185200</v>
      </c>
      <c r="G67" s="483"/>
      <c r="H67" s="589">
        <v>605200</v>
      </c>
      <c r="I67" s="615">
        <f>H67-C67</f>
        <v>0</v>
      </c>
    </row>
    <row r="68" spans="1:10" ht="21.95" customHeight="1" x14ac:dyDescent="0.55000000000000004">
      <c r="A68" s="208" t="s">
        <v>443</v>
      </c>
      <c r="B68" s="245" t="s">
        <v>2</v>
      </c>
      <c r="C68" s="256">
        <f>SUM(D68:F68)</f>
        <v>4188000</v>
      </c>
      <c r="D68" s="443">
        <v>1396000</v>
      </c>
      <c r="E68" s="443">
        <v>1396000</v>
      </c>
      <c r="F68" s="443">
        <v>1396000</v>
      </c>
      <c r="G68" s="483"/>
      <c r="H68" s="589">
        <v>4188000</v>
      </c>
      <c r="I68" s="615">
        <f>H68-C68</f>
        <v>0</v>
      </c>
    </row>
    <row r="69" spans="1:10" ht="21.95" customHeight="1" x14ac:dyDescent="0.55000000000000004">
      <c r="A69" s="223"/>
      <c r="B69" s="236"/>
      <c r="C69" s="237"/>
      <c r="D69" s="211"/>
      <c r="E69" s="211"/>
      <c r="F69" s="211"/>
      <c r="G69" s="483"/>
      <c r="I69" s="615">
        <f>H69-C69</f>
        <v>0</v>
      </c>
    </row>
    <row r="70" spans="1:10" ht="21.95" customHeight="1" x14ac:dyDescent="0.55000000000000004">
      <c r="A70" s="205" t="s">
        <v>171</v>
      </c>
      <c r="B70" s="566" t="s">
        <v>2</v>
      </c>
      <c r="C70" s="488">
        <f>SUM(D70:F70)</f>
        <v>10579100</v>
      </c>
      <c r="D70" s="488">
        <f>SUM(D72:D93)</f>
        <v>3538900</v>
      </c>
      <c r="E70" s="488">
        <f>SUM(E72:E93)</f>
        <v>3659100</v>
      </c>
      <c r="F70" s="488">
        <f>SUM(F72:F93)</f>
        <v>3381100</v>
      </c>
      <c r="G70" s="543"/>
      <c r="I70" s="615"/>
    </row>
    <row r="71" spans="1:10" ht="21.95" customHeight="1" x14ac:dyDescent="0.55000000000000004">
      <c r="A71" s="479"/>
      <c r="B71" s="524" t="s">
        <v>3</v>
      </c>
      <c r="C71" s="496"/>
      <c r="D71" s="254"/>
      <c r="E71" s="254"/>
      <c r="F71" s="254"/>
      <c r="G71" s="529"/>
      <c r="I71" s="615">
        <f t="shared" ref="I71:I93" si="3">H71-C71</f>
        <v>0</v>
      </c>
    </row>
    <row r="72" spans="1:10" ht="21.95" customHeight="1" x14ac:dyDescent="0.55000000000000004">
      <c r="A72" s="222" t="s">
        <v>291</v>
      </c>
      <c r="B72" s="241" t="s">
        <v>2</v>
      </c>
      <c r="C72" s="496">
        <f>SUM(D72:F72)</f>
        <v>5700000</v>
      </c>
      <c r="D72" s="255">
        <v>1900000</v>
      </c>
      <c r="E72" s="255">
        <v>1900000</v>
      </c>
      <c r="F72" s="255">
        <v>1900000</v>
      </c>
      <c r="G72" s="483"/>
      <c r="H72" s="589">
        <v>5700000</v>
      </c>
      <c r="I72" s="615">
        <f t="shared" si="3"/>
        <v>0</v>
      </c>
    </row>
    <row r="73" spans="1:10" ht="21.95" customHeight="1" x14ac:dyDescent="0.55000000000000004">
      <c r="A73" s="222"/>
      <c r="B73" s="241" t="s">
        <v>3</v>
      </c>
      <c r="C73" s="496"/>
      <c r="D73" s="255"/>
      <c r="E73" s="255"/>
      <c r="F73" s="255"/>
      <c r="G73" s="483"/>
      <c r="I73" s="615">
        <f t="shared" si="3"/>
        <v>0</v>
      </c>
    </row>
    <row r="74" spans="1:10" ht="21.95" customHeight="1" x14ac:dyDescent="0.55000000000000004">
      <c r="A74" s="222" t="s">
        <v>295</v>
      </c>
      <c r="B74" s="241" t="s">
        <v>2</v>
      </c>
      <c r="C74" s="496">
        <f>SUM(D74:F74)</f>
        <v>1647800</v>
      </c>
      <c r="D74" s="255">
        <v>492000</v>
      </c>
      <c r="E74" s="255">
        <v>665800</v>
      </c>
      <c r="F74" s="255">
        <v>490000</v>
      </c>
      <c r="G74" s="483"/>
      <c r="H74" s="589">
        <v>1647800</v>
      </c>
      <c r="I74" s="615">
        <f t="shared" si="3"/>
        <v>0</v>
      </c>
      <c r="J74" s="580"/>
    </row>
    <row r="75" spans="1:10" ht="21.95" customHeight="1" x14ac:dyDescent="0.55000000000000004">
      <c r="A75" s="222"/>
      <c r="B75" s="241" t="s">
        <v>3</v>
      </c>
      <c r="C75" s="496"/>
      <c r="D75" s="255"/>
      <c r="E75" s="255"/>
      <c r="F75" s="255"/>
      <c r="G75" s="483"/>
      <c r="I75" s="615">
        <f t="shared" si="3"/>
        <v>0</v>
      </c>
    </row>
    <row r="76" spans="1:10" ht="21.95" customHeight="1" x14ac:dyDescent="0.55000000000000004">
      <c r="A76" s="222" t="s">
        <v>297</v>
      </c>
      <c r="B76" s="241" t="s">
        <v>2</v>
      </c>
      <c r="C76" s="496">
        <f>SUM(D76:F76)</f>
        <v>120000</v>
      </c>
      <c r="D76" s="255">
        <v>120000</v>
      </c>
      <c r="E76" s="255"/>
      <c r="F76" s="255"/>
      <c r="G76" s="483"/>
      <c r="H76" s="589">
        <v>120000</v>
      </c>
      <c r="I76" s="615">
        <f t="shared" ref="I76" si="4">H76-C76</f>
        <v>0</v>
      </c>
      <c r="J76" s="580"/>
    </row>
    <row r="77" spans="1:10" ht="21.95" customHeight="1" x14ac:dyDescent="0.55000000000000004">
      <c r="A77" s="222"/>
      <c r="B77" s="241"/>
      <c r="C77" s="496"/>
      <c r="D77" s="255"/>
      <c r="E77" s="255"/>
      <c r="F77" s="255"/>
      <c r="G77" s="483"/>
      <c r="I77" s="615"/>
    </row>
    <row r="78" spans="1:10" ht="21.95" customHeight="1" x14ac:dyDescent="0.55000000000000004">
      <c r="A78" s="222" t="s">
        <v>294</v>
      </c>
      <c r="B78" s="241" t="s">
        <v>2</v>
      </c>
      <c r="C78" s="496">
        <f>SUM(D78:F78)</f>
        <v>1134000</v>
      </c>
      <c r="D78" s="255">
        <v>360000</v>
      </c>
      <c r="E78" s="255">
        <v>360000</v>
      </c>
      <c r="F78" s="255">
        <v>414000</v>
      </c>
      <c r="G78" s="483"/>
      <c r="H78" s="589">
        <v>1134000</v>
      </c>
      <c r="I78" s="615">
        <f t="shared" ref="I78" si="5">H78-C78</f>
        <v>0</v>
      </c>
      <c r="J78" s="580"/>
    </row>
    <row r="79" spans="1:10" ht="21.95" customHeight="1" x14ac:dyDescent="0.55000000000000004">
      <c r="A79" s="222"/>
      <c r="B79" s="241"/>
      <c r="C79" s="496"/>
      <c r="D79" s="255"/>
      <c r="E79" s="255"/>
      <c r="F79" s="255"/>
      <c r="G79" s="483"/>
      <c r="I79" s="615"/>
    </row>
    <row r="80" spans="1:10" ht="21.95" customHeight="1" x14ac:dyDescent="0.55000000000000004">
      <c r="A80" s="222" t="s">
        <v>386</v>
      </c>
      <c r="B80" s="241" t="s">
        <v>2</v>
      </c>
      <c r="C80" s="496">
        <f>SUM(D80:F80)</f>
        <v>202000</v>
      </c>
      <c r="D80" s="255">
        <v>48200</v>
      </c>
      <c r="E80" s="255">
        <v>105100</v>
      </c>
      <c r="F80" s="255">
        <v>48700</v>
      </c>
      <c r="G80" s="483"/>
      <c r="H80" s="589">
        <v>202000</v>
      </c>
      <c r="I80" s="615">
        <f t="shared" si="3"/>
        <v>0</v>
      </c>
      <c r="J80" s="575"/>
    </row>
    <row r="81" spans="1:10" ht="21.95" customHeight="1" x14ac:dyDescent="0.55000000000000004">
      <c r="A81" s="222"/>
      <c r="B81" s="241" t="s">
        <v>3</v>
      </c>
      <c r="C81" s="496"/>
      <c r="D81" s="255"/>
      <c r="E81" s="255"/>
      <c r="F81" s="255"/>
      <c r="G81" s="483"/>
      <c r="I81" s="615">
        <f t="shared" si="3"/>
        <v>0</v>
      </c>
    </row>
    <row r="82" spans="1:10" ht="21.95" customHeight="1" x14ac:dyDescent="0.55000000000000004">
      <c r="A82" s="222" t="s">
        <v>296</v>
      </c>
      <c r="B82" s="241" t="s">
        <v>2</v>
      </c>
      <c r="C82" s="496">
        <f>SUM(D82:F82)</f>
        <v>345300</v>
      </c>
      <c r="D82" s="255">
        <v>228700</v>
      </c>
      <c r="E82" s="255">
        <v>58200</v>
      </c>
      <c r="F82" s="255">
        <v>58400</v>
      </c>
      <c r="G82" s="483"/>
      <c r="H82" s="589">
        <v>345300</v>
      </c>
      <c r="I82" s="615">
        <f t="shared" si="3"/>
        <v>0</v>
      </c>
    </row>
    <row r="83" spans="1:10" ht="21.95" customHeight="1" x14ac:dyDescent="0.55000000000000004">
      <c r="A83" s="222"/>
      <c r="B83" s="241" t="s">
        <v>3</v>
      </c>
      <c r="C83" s="496"/>
      <c r="D83" s="255"/>
      <c r="E83" s="255"/>
      <c r="F83" s="255"/>
      <c r="G83" s="483"/>
      <c r="I83" s="615">
        <f t="shared" si="3"/>
        <v>0</v>
      </c>
    </row>
    <row r="84" spans="1:10" ht="21.95" customHeight="1" x14ac:dyDescent="0.55000000000000004">
      <c r="A84" s="455" t="s">
        <v>444</v>
      </c>
      <c r="B84" s="241" t="s">
        <v>2</v>
      </c>
      <c r="C84" s="496">
        <f>SUM(D84:F84)</f>
        <v>500000</v>
      </c>
      <c r="D84" s="255"/>
      <c r="E84" s="456">
        <v>300000</v>
      </c>
      <c r="F84" s="456">
        <v>200000</v>
      </c>
      <c r="G84" s="545"/>
      <c r="H84" s="589">
        <v>500000</v>
      </c>
      <c r="I84" s="615">
        <f t="shared" si="3"/>
        <v>0</v>
      </c>
    </row>
    <row r="85" spans="1:10" ht="21.95" customHeight="1" x14ac:dyDescent="0.55000000000000004">
      <c r="A85" s="547"/>
      <c r="B85" s="449" t="s">
        <v>3</v>
      </c>
      <c r="C85" s="573"/>
      <c r="D85" s="594"/>
      <c r="E85" s="594"/>
      <c r="F85" s="594"/>
      <c r="G85" s="545"/>
      <c r="I85" s="615">
        <f t="shared" si="3"/>
        <v>0</v>
      </c>
    </row>
    <row r="86" spans="1:10" ht="4.5" customHeight="1" x14ac:dyDescent="0.55000000000000004">
      <c r="A86" s="545"/>
      <c r="B86" s="545"/>
      <c r="C86" s="545"/>
      <c r="D86" s="545"/>
      <c r="E86" s="545"/>
      <c r="F86" s="545"/>
      <c r="G86" s="545"/>
      <c r="I86" s="615">
        <f t="shared" si="3"/>
        <v>0</v>
      </c>
    </row>
    <row r="87" spans="1:10" ht="24" customHeight="1" x14ac:dyDescent="0.55000000000000004">
      <c r="A87" s="595" t="s">
        <v>292</v>
      </c>
      <c r="B87" s="447" t="s">
        <v>2</v>
      </c>
      <c r="C87" s="596">
        <f>SUM(D87:F87)</f>
        <v>20000</v>
      </c>
      <c r="D87" s="597">
        <v>20000</v>
      </c>
      <c r="E87" s="598"/>
      <c r="F87" s="598"/>
      <c r="G87" s="544"/>
      <c r="H87" s="589">
        <v>20000</v>
      </c>
      <c r="I87" s="615">
        <f t="shared" si="3"/>
        <v>0</v>
      </c>
      <c r="J87" s="121"/>
    </row>
    <row r="88" spans="1:10" ht="24" customHeight="1" x14ac:dyDescent="0.55000000000000004">
      <c r="A88" s="222"/>
      <c r="B88" s="241" t="s">
        <v>3</v>
      </c>
      <c r="C88" s="497"/>
      <c r="D88" s="443"/>
      <c r="E88" s="463"/>
      <c r="F88" s="463"/>
      <c r="G88" s="544"/>
      <c r="I88" s="615">
        <f t="shared" si="3"/>
        <v>0</v>
      </c>
    </row>
    <row r="89" spans="1:10" ht="24" customHeight="1" x14ac:dyDescent="0.55000000000000004">
      <c r="A89" s="222" t="s">
        <v>293</v>
      </c>
      <c r="B89" s="241" t="s">
        <v>2</v>
      </c>
      <c r="C89" s="496">
        <f>SUM(D89:F89)</f>
        <v>100000</v>
      </c>
      <c r="D89" s="255">
        <v>100000</v>
      </c>
      <c r="E89" s="255"/>
      <c r="F89" s="255"/>
      <c r="G89" s="483"/>
      <c r="H89" s="589">
        <v>100000</v>
      </c>
      <c r="I89" s="615">
        <f t="shared" si="3"/>
        <v>0</v>
      </c>
      <c r="J89" s="575"/>
    </row>
    <row r="90" spans="1:10" ht="24" customHeight="1" x14ac:dyDescent="0.55000000000000004">
      <c r="A90" s="222"/>
      <c r="B90" s="241" t="s">
        <v>3</v>
      </c>
      <c r="C90" s="497"/>
      <c r="D90" s="443"/>
      <c r="E90" s="463"/>
      <c r="F90" s="463"/>
      <c r="G90" s="544"/>
      <c r="I90" s="615">
        <f t="shared" ref="I90:I91" si="6">H90-C90</f>
        <v>0</v>
      </c>
    </row>
    <row r="91" spans="1:10" ht="24" customHeight="1" x14ac:dyDescent="0.55000000000000004">
      <c r="A91" s="222" t="s">
        <v>372</v>
      </c>
      <c r="B91" s="241" t="s">
        <v>2</v>
      </c>
      <c r="C91" s="496">
        <f>SUM(D91:F91)</f>
        <v>810000</v>
      </c>
      <c r="D91" s="255">
        <v>270000</v>
      </c>
      <c r="E91" s="255">
        <v>270000</v>
      </c>
      <c r="F91" s="255">
        <v>270000</v>
      </c>
      <c r="G91" s="483"/>
      <c r="H91" s="589">
        <v>810000</v>
      </c>
      <c r="I91" s="615">
        <f t="shared" si="6"/>
        <v>0</v>
      </c>
      <c r="J91" s="575"/>
    </row>
    <row r="92" spans="1:10" ht="24" customHeight="1" x14ac:dyDescent="0.55000000000000004">
      <c r="A92" s="222" t="s">
        <v>394</v>
      </c>
      <c r="B92" s="461"/>
      <c r="C92" s="634"/>
      <c r="D92" s="487"/>
      <c r="E92" s="487"/>
      <c r="F92" s="487"/>
      <c r="G92" s="483"/>
      <c r="I92" s="615"/>
      <c r="J92" s="575"/>
    </row>
    <row r="93" spans="1:10" ht="24" customHeight="1" x14ac:dyDescent="0.55000000000000004">
      <c r="A93" s="572"/>
      <c r="B93" s="449" t="s">
        <v>3</v>
      </c>
      <c r="C93" s="573"/>
      <c r="D93" s="462"/>
      <c r="E93" s="462"/>
      <c r="F93" s="462"/>
      <c r="G93" s="483"/>
      <c r="I93" s="615">
        <f t="shared" si="3"/>
        <v>0</v>
      </c>
    </row>
    <row r="94" spans="1:10" ht="24" customHeight="1" x14ac:dyDescent="0.55000000000000004">
      <c r="A94" s="468" t="s">
        <v>365</v>
      </c>
      <c r="B94" s="196" t="s">
        <v>2</v>
      </c>
      <c r="C94" s="469">
        <f>SUM(D94:F94)</f>
        <v>15907000</v>
      </c>
      <c r="D94" s="469">
        <f>D62+D70</f>
        <v>5324900</v>
      </c>
      <c r="E94" s="469">
        <f>E62+E70</f>
        <v>5445100</v>
      </c>
      <c r="F94" s="472">
        <f>F62+F70</f>
        <v>5137000</v>
      </c>
      <c r="G94" s="544"/>
      <c r="I94" s="615"/>
    </row>
    <row r="95" spans="1:10" ht="24" customHeight="1" x14ac:dyDescent="0.55000000000000004">
      <c r="A95" s="495"/>
      <c r="B95" s="196" t="s">
        <v>3</v>
      </c>
      <c r="C95" s="469"/>
      <c r="D95" s="198"/>
      <c r="E95" s="198"/>
      <c r="F95" s="198"/>
      <c r="G95" s="544"/>
      <c r="I95" s="615"/>
    </row>
    <row r="96" spans="1:10" ht="24" customHeight="1" x14ac:dyDescent="0.55000000000000004">
      <c r="A96" s="195" t="s">
        <v>366</v>
      </c>
      <c r="B96" s="196" t="s">
        <v>2</v>
      </c>
      <c r="C96" s="469">
        <f>SUM(D96:F96)</f>
        <v>0</v>
      </c>
      <c r="D96" s="198"/>
      <c r="E96" s="198"/>
      <c r="F96" s="198"/>
      <c r="G96" s="544"/>
      <c r="I96" s="615"/>
    </row>
    <row r="97" spans="1:10" ht="24" customHeight="1" x14ac:dyDescent="0.55000000000000004">
      <c r="A97" s="495"/>
      <c r="B97" s="196" t="s">
        <v>3</v>
      </c>
      <c r="C97" s="469"/>
      <c r="D97" s="198"/>
      <c r="E97" s="198"/>
      <c r="F97" s="198"/>
      <c r="G97" s="544"/>
      <c r="I97" s="615"/>
    </row>
    <row r="98" spans="1:10" ht="24" customHeight="1" x14ac:dyDescent="0.55000000000000004">
      <c r="A98" s="673" t="s">
        <v>1</v>
      </c>
      <c r="B98" s="225" t="s">
        <v>2</v>
      </c>
      <c r="C98" s="472">
        <f>SUM(D98:F98)</f>
        <v>15907000</v>
      </c>
      <c r="D98" s="472">
        <f>D94+D96</f>
        <v>5324900</v>
      </c>
      <c r="E98" s="472">
        <f t="shared" ref="E98:F98" si="7">E94+E96</f>
        <v>5445100</v>
      </c>
      <c r="F98" s="472">
        <f t="shared" si="7"/>
        <v>5137000</v>
      </c>
      <c r="G98" s="544"/>
      <c r="I98" s="615"/>
    </row>
    <row r="99" spans="1:10" ht="24" customHeight="1" x14ac:dyDescent="0.55000000000000004">
      <c r="A99" s="674"/>
      <c r="B99" s="225" t="s">
        <v>3</v>
      </c>
      <c r="C99" s="472"/>
      <c r="D99" s="473"/>
      <c r="E99" s="473"/>
      <c r="F99" s="473"/>
      <c r="G99" s="544"/>
      <c r="I99" s="615"/>
    </row>
    <row r="100" spans="1:10" ht="24" customHeight="1" x14ac:dyDescent="0.55000000000000004">
      <c r="A100" s="190" t="s">
        <v>378</v>
      </c>
      <c r="G100" s="544"/>
    </row>
    <row r="101" spans="1:10" s="12" customFormat="1" ht="24" customHeight="1" x14ac:dyDescent="0.55000000000000004">
      <c r="C101" s="619">
        <f>C98-C58</f>
        <v>0</v>
      </c>
      <c r="D101" s="619">
        <f>D98-D58</f>
        <v>0</v>
      </c>
      <c r="E101" s="619">
        <f>E98-E58</f>
        <v>0</v>
      </c>
      <c r="F101" s="619">
        <f>F98-F58</f>
        <v>0</v>
      </c>
      <c r="G101" s="544"/>
      <c r="H101" s="589"/>
    </row>
    <row r="102" spans="1:10" s="12" customFormat="1" ht="24" customHeight="1" x14ac:dyDescent="0.55000000000000004">
      <c r="C102" s="617"/>
      <c r="D102" s="618"/>
      <c r="E102" s="618"/>
      <c r="F102" s="618"/>
      <c r="G102" s="618"/>
      <c r="H102" s="589"/>
    </row>
    <row r="103" spans="1:10" s="12" customFormat="1" ht="24" customHeight="1" x14ac:dyDescent="0.55000000000000004">
      <c r="F103" s="618"/>
      <c r="G103" s="618"/>
      <c r="H103" s="619">
        <f>(C62+C11)*30/100</f>
        <v>7369860</v>
      </c>
      <c r="I103" s="618">
        <f>D67+D11-D24</f>
        <v>6941900</v>
      </c>
      <c r="J103" s="618"/>
    </row>
    <row r="104" spans="1:10" s="12" customFormat="1" ht="24" customHeight="1" x14ac:dyDescent="0.55000000000000004">
      <c r="F104" s="618"/>
      <c r="G104" s="618"/>
      <c r="H104" s="617"/>
      <c r="I104" s="618">
        <f>I103-H103</f>
        <v>-427960</v>
      </c>
      <c r="J104" s="618" t="s">
        <v>398</v>
      </c>
    </row>
    <row r="105" spans="1:10" ht="24" customHeight="1" x14ac:dyDescent="0.55000000000000004"/>
    <row r="106" spans="1:10" ht="24" customHeight="1" x14ac:dyDescent="0.55000000000000004"/>
    <row r="107" spans="1:10" ht="24" customHeight="1" x14ac:dyDescent="0.55000000000000004"/>
    <row r="108" spans="1:10" ht="24" customHeight="1" x14ac:dyDescent="0.55000000000000004"/>
    <row r="109" spans="1:10" ht="24" customHeight="1" x14ac:dyDescent="0.55000000000000004"/>
    <row r="110" spans="1:10" ht="24" customHeight="1" x14ac:dyDescent="0.55000000000000004"/>
    <row r="111" spans="1:10" ht="24" customHeight="1" x14ac:dyDescent="0.55000000000000004"/>
    <row r="112" spans="1:10" ht="24" customHeight="1" x14ac:dyDescent="0.55000000000000004"/>
    <row r="113" ht="24" customHeight="1" x14ac:dyDescent="0.55000000000000004"/>
    <row r="114" ht="24" customHeight="1" x14ac:dyDescent="0.55000000000000004"/>
    <row r="115" ht="24" customHeight="1" x14ac:dyDescent="0.55000000000000004"/>
    <row r="116" ht="24" customHeight="1" x14ac:dyDescent="0.55000000000000004"/>
    <row r="117" ht="24" customHeight="1" x14ac:dyDescent="0.55000000000000004"/>
    <row r="118" ht="24" customHeight="1" x14ac:dyDescent="0.55000000000000004"/>
    <row r="119" ht="24" customHeight="1" x14ac:dyDescent="0.55000000000000004"/>
    <row r="120" ht="24" customHeight="1" x14ac:dyDescent="0.55000000000000004"/>
    <row r="121" ht="24" customHeight="1" x14ac:dyDescent="0.55000000000000004"/>
    <row r="122" ht="24" customHeight="1" x14ac:dyDescent="0.55000000000000004"/>
    <row r="123" ht="24" customHeight="1" x14ac:dyDescent="0.55000000000000004"/>
    <row r="124" ht="24" customHeight="1" x14ac:dyDescent="0.55000000000000004"/>
    <row r="125" ht="24" customHeight="1" x14ac:dyDescent="0.55000000000000004"/>
    <row r="126" ht="24" customHeight="1" x14ac:dyDescent="0.55000000000000004"/>
    <row r="127" ht="24" customHeight="1" x14ac:dyDescent="0.55000000000000004"/>
    <row r="128" ht="24" customHeight="1" x14ac:dyDescent="0.55000000000000004"/>
    <row r="129" ht="24" customHeight="1" x14ac:dyDescent="0.55000000000000004"/>
    <row r="130" ht="24" customHeight="1" x14ac:dyDescent="0.55000000000000004"/>
    <row r="131" ht="24" customHeight="1" x14ac:dyDescent="0.55000000000000004"/>
    <row r="132" ht="24" customHeight="1" x14ac:dyDescent="0.55000000000000004"/>
    <row r="133" ht="24" customHeight="1" x14ac:dyDescent="0.55000000000000004"/>
    <row r="134" ht="24" customHeight="1" x14ac:dyDescent="0.55000000000000004"/>
    <row r="135" ht="24" customHeight="1" x14ac:dyDescent="0.55000000000000004"/>
    <row r="136" ht="24" customHeight="1" x14ac:dyDescent="0.55000000000000004"/>
    <row r="137" ht="24" customHeight="1" x14ac:dyDescent="0.55000000000000004"/>
    <row r="138" ht="24" customHeight="1" x14ac:dyDescent="0.55000000000000004"/>
    <row r="139" ht="24" customHeight="1" x14ac:dyDescent="0.55000000000000004"/>
    <row r="140" ht="24" customHeight="1" x14ac:dyDescent="0.55000000000000004"/>
    <row r="141" ht="24" customHeight="1" x14ac:dyDescent="0.55000000000000004"/>
    <row r="142" ht="24" customHeight="1" x14ac:dyDescent="0.55000000000000004"/>
    <row r="143" ht="24" customHeight="1" x14ac:dyDescent="0.55000000000000004"/>
    <row r="144" ht="24" customHeight="1" x14ac:dyDescent="0.55000000000000004"/>
    <row r="145" ht="24" customHeight="1" x14ac:dyDescent="0.55000000000000004"/>
    <row r="146" ht="24" customHeight="1" x14ac:dyDescent="0.55000000000000004"/>
    <row r="147" ht="24" customHeight="1" x14ac:dyDescent="0.55000000000000004"/>
    <row r="148" ht="24" customHeight="1" x14ac:dyDescent="0.55000000000000004"/>
    <row r="149" ht="24" customHeight="1" x14ac:dyDescent="0.55000000000000004"/>
    <row r="150" ht="24" customHeight="1" x14ac:dyDescent="0.55000000000000004"/>
    <row r="151" ht="24" customHeight="1" x14ac:dyDescent="0.55000000000000004"/>
    <row r="152" ht="24" customHeight="1" x14ac:dyDescent="0.55000000000000004"/>
    <row r="153" ht="24" customHeight="1" x14ac:dyDescent="0.55000000000000004"/>
    <row r="154" ht="24" customHeight="1" x14ac:dyDescent="0.55000000000000004"/>
    <row r="155" ht="24" customHeight="1" x14ac:dyDescent="0.55000000000000004"/>
    <row r="156" ht="24" customHeight="1" x14ac:dyDescent="0.55000000000000004"/>
    <row r="157" ht="24" customHeight="1" x14ac:dyDescent="0.55000000000000004"/>
    <row r="158" ht="24" customHeight="1" x14ac:dyDescent="0.55000000000000004"/>
    <row r="159" ht="24" customHeight="1" x14ac:dyDescent="0.55000000000000004"/>
    <row r="160" ht="24" customHeight="1" x14ac:dyDescent="0.55000000000000004"/>
    <row r="161" ht="24" customHeight="1" x14ac:dyDescent="0.55000000000000004"/>
    <row r="162" ht="24" customHeight="1" x14ac:dyDescent="0.55000000000000004"/>
    <row r="163" ht="24" customHeight="1" x14ac:dyDescent="0.55000000000000004"/>
    <row r="164" ht="24" customHeight="1" x14ac:dyDescent="0.55000000000000004"/>
    <row r="165" ht="24" customHeight="1" x14ac:dyDescent="0.55000000000000004"/>
    <row r="166" ht="24" customHeight="1" x14ac:dyDescent="0.55000000000000004"/>
    <row r="167" ht="24" customHeight="1" x14ac:dyDescent="0.55000000000000004"/>
    <row r="168" ht="24" customHeight="1" x14ac:dyDescent="0.55000000000000004"/>
    <row r="169" ht="24" customHeight="1" x14ac:dyDescent="0.55000000000000004"/>
    <row r="170" ht="24" customHeight="1" x14ac:dyDescent="0.55000000000000004"/>
    <row r="171" ht="24" customHeight="1" x14ac:dyDescent="0.55000000000000004"/>
    <row r="172" ht="24" customHeight="1" x14ac:dyDescent="0.55000000000000004"/>
    <row r="173" ht="24" customHeight="1" x14ac:dyDescent="0.55000000000000004"/>
    <row r="174" ht="24" customHeight="1" x14ac:dyDescent="0.55000000000000004"/>
    <row r="175" ht="24" customHeight="1" x14ac:dyDescent="0.55000000000000004"/>
    <row r="176" ht="24" customHeight="1" x14ac:dyDescent="0.55000000000000004"/>
    <row r="177" ht="24" customHeight="1" x14ac:dyDescent="0.55000000000000004"/>
    <row r="178" ht="24" customHeight="1" x14ac:dyDescent="0.55000000000000004"/>
    <row r="179" ht="24" customHeight="1" x14ac:dyDescent="0.55000000000000004"/>
    <row r="180" ht="24" customHeight="1" x14ac:dyDescent="0.55000000000000004"/>
    <row r="181" ht="24" customHeight="1" x14ac:dyDescent="0.55000000000000004"/>
    <row r="182" ht="24" customHeight="1" x14ac:dyDescent="0.55000000000000004"/>
    <row r="183" ht="24" customHeight="1" x14ac:dyDescent="0.55000000000000004"/>
    <row r="184" ht="24" customHeight="1" x14ac:dyDescent="0.55000000000000004"/>
    <row r="185" ht="24" customHeight="1" x14ac:dyDescent="0.55000000000000004"/>
    <row r="186" ht="24" customHeight="1" x14ac:dyDescent="0.55000000000000004"/>
    <row r="187" ht="24" customHeight="1" x14ac:dyDescent="0.55000000000000004"/>
    <row r="188" ht="24" customHeight="1" x14ac:dyDescent="0.55000000000000004"/>
    <row r="189" ht="24" customHeight="1" x14ac:dyDescent="0.55000000000000004"/>
    <row r="190" ht="24" customHeight="1" x14ac:dyDescent="0.55000000000000004"/>
    <row r="191" ht="24" customHeight="1" x14ac:dyDescent="0.55000000000000004"/>
    <row r="192" ht="24" customHeight="1" x14ac:dyDescent="0.55000000000000004"/>
    <row r="193" ht="24" customHeight="1" x14ac:dyDescent="0.55000000000000004"/>
  </sheetData>
  <mergeCells count="8">
    <mergeCell ref="A45:A46"/>
    <mergeCell ref="A98:A99"/>
    <mergeCell ref="A1:F1"/>
    <mergeCell ref="A5:A6"/>
    <mergeCell ref="C5:C6"/>
    <mergeCell ref="D5:D6"/>
    <mergeCell ref="E5:E6"/>
    <mergeCell ref="F5:F6"/>
  </mergeCells>
  <pageMargins left="0.59055118110236227" right="0.39370078740157483" top="0.51181102362204722" bottom="0.39370078740157483" header="0.31496062992125984" footer="0.11811023622047245"/>
  <pageSetup paperSize="9" scale="70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803187-916E-489A-981C-79108348C4A2}">
  <sheetPr>
    <tabColor rgb="FF00B050"/>
  </sheetPr>
  <dimension ref="A1:J94"/>
  <sheetViews>
    <sheetView topLeftCell="A67" zoomScaleNormal="100" workbookViewId="0">
      <selection activeCell="A78" sqref="A78"/>
    </sheetView>
  </sheetViews>
  <sheetFormatPr defaultColWidth="9" defaultRowHeight="24" x14ac:dyDescent="0.55000000000000004"/>
  <cols>
    <col min="1" max="1" width="80.625" style="265" customWidth="1"/>
    <col min="2" max="2" width="8.125" style="265" customWidth="1"/>
    <col min="3" max="3" width="22.625" style="500" customWidth="1"/>
    <col min="4" max="6" width="22.625" style="265" customWidth="1"/>
    <col min="7" max="7" width="3.25" style="265" customWidth="1"/>
    <col min="8" max="8" width="13.375" style="589" customWidth="1"/>
    <col min="9" max="9" width="12.75" style="12" customWidth="1"/>
    <col min="10" max="18" width="39.375" style="265" customWidth="1"/>
    <col min="19" max="16384" width="9" style="265"/>
  </cols>
  <sheetData>
    <row r="1" spans="1:9" x14ac:dyDescent="0.55000000000000004">
      <c r="A1" s="672" t="s">
        <v>411</v>
      </c>
      <c r="B1" s="672"/>
      <c r="C1" s="672"/>
      <c r="D1" s="672"/>
      <c r="E1" s="672"/>
      <c r="F1" s="672"/>
      <c r="G1" s="240"/>
    </row>
    <row r="2" spans="1:9" x14ac:dyDescent="0.55000000000000004">
      <c r="A2" s="188" t="s">
        <v>158</v>
      </c>
      <c r="B2" s="188"/>
      <c r="C2" s="189"/>
      <c r="D2" s="188"/>
      <c r="E2" s="188"/>
      <c r="F2" s="188"/>
      <c r="G2" s="188"/>
    </row>
    <row r="3" spans="1:9" x14ac:dyDescent="0.55000000000000004">
      <c r="A3" s="190" t="s">
        <v>183</v>
      </c>
      <c r="B3" s="190"/>
      <c r="C3" s="191"/>
      <c r="E3" s="192"/>
      <c r="F3" s="192" t="s">
        <v>28</v>
      </c>
      <c r="G3" s="192"/>
    </row>
    <row r="4" spans="1:9" ht="7.5" customHeight="1" x14ac:dyDescent="0.55000000000000004">
      <c r="A4" s="190"/>
      <c r="B4" s="190"/>
      <c r="C4" s="191"/>
      <c r="D4" s="192"/>
      <c r="E4" s="192"/>
      <c r="F4" s="192"/>
      <c r="G4" s="192"/>
    </row>
    <row r="5" spans="1:9" ht="24" customHeight="1" x14ac:dyDescent="0.5">
      <c r="A5" s="675" t="s">
        <v>13</v>
      </c>
      <c r="B5" s="193" t="s">
        <v>5</v>
      </c>
      <c r="C5" s="677" t="s">
        <v>1</v>
      </c>
      <c r="D5" s="679" t="s">
        <v>414</v>
      </c>
      <c r="E5" s="679" t="s">
        <v>415</v>
      </c>
      <c r="F5" s="679" t="s">
        <v>416</v>
      </c>
      <c r="G5" s="526"/>
      <c r="H5" s="612" t="s">
        <v>255</v>
      </c>
      <c r="I5" s="613" t="s">
        <v>381</v>
      </c>
    </row>
    <row r="6" spans="1:9" ht="24" customHeight="1" x14ac:dyDescent="0.25">
      <c r="A6" s="676"/>
      <c r="B6" s="194" t="s">
        <v>3</v>
      </c>
      <c r="C6" s="678"/>
      <c r="D6" s="671"/>
      <c r="E6" s="671"/>
      <c r="F6" s="671"/>
      <c r="G6" s="526"/>
      <c r="H6" s="614"/>
      <c r="I6" s="298"/>
    </row>
    <row r="7" spans="1:9" ht="23.1" customHeight="1" x14ac:dyDescent="0.55000000000000004">
      <c r="A7" s="203" t="s">
        <v>194</v>
      </c>
      <c r="B7" s="537" t="s">
        <v>2</v>
      </c>
      <c r="C7" s="538">
        <f>SUM(D7:F7)</f>
        <v>419000</v>
      </c>
      <c r="D7" s="538">
        <f>D9</f>
        <v>369000</v>
      </c>
      <c r="E7" s="538">
        <f>E9</f>
        <v>0</v>
      </c>
      <c r="F7" s="493">
        <f>F9</f>
        <v>50000</v>
      </c>
      <c r="G7" s="526"/>
    </row>
    <row r="8" spans="1:9" ht="23.1" customHeight="1" x14ac:dyDescent="0.55000000000000004">
      <c r="A8" s="203"/>
      <c r="B8" s="537" t="s">
        <v>3</v>
      </c>
      <c r="C8" s="538"/>
      <c r="D8" s="542"/>
      <c r="E8" s="542"/>
      <c r="F8" s="542"/>
      <c r="G8" s="526"/>
    </row>
    <row r="9" spans="1:9" ht="23.1" customHeight="1" x14ac:dyDescent="0.55000000000000004">
      <c r="A9" s="199" t="s">
        <v>358</v>
      </c>
      <c r="B9" s="200" t="s">
        <v>2</v>
      </c>
      <c r="C9" s="538">
        <f>SUM(D9:F9)</f>
        <v>419000</v>
      </c>
      <c r="D9" s="538">
        <f>D11</f>
        <v>369000</v>
      </c>
      <c r="E9" s="538">
        <f>E11</f>
        <v>0</v>
      </c>
      <c r="F9" s="493">
        <f>F11</f>
        <v>50000</v>
      </c>
      <c r="G9" s="526"/>
      <c r="H9" s="589">
        <f>F9-419000</f>
        <v>-369000</v>
      </c>
    </row>
    <row r="10" spans="1:9" ht="23.1" customHeight="1" x14ac:dyDescent="0.55000000000000004">
      <c r="A10" s="230"/>
      <c r="B10" s="200" t="s">
        <v>3</v>
      </c>
      <c r="C10" s="201"/>
      <c r="D10" s="202"/>
      <c r="E10" s="202"/>
      <c r="F10" s="202"/>
      <c r="G10" s="526"/>
    </row>
    <row r="11" spans="1:9" ht="24" customHeight="1" x14ac:dyDescent="0.55000000000000004">
      <c r="A11" s="205" t="s">
        <v>338</v>
      </c>
      <c r="B11" s="525" t="s">
        <v>2</v>
      </c>
      <c r="C11" s="263">
        <f>SUM(D11:F11)</f>
        <v>419000</v>
      </c>
      <c r="D11" s="264">
        <f>SUM(D15:D23)</f>
        <v>369000</v>
      </c>
      <c r="E11" s="264">
        <f>SUM(E15:E23)</f>
        <v>0</v>
      </c>
      <c r="F11" s="264">
        <f>SUM(F15:F23)</f>
        <v>50000</v>
      </c>
      <c r="G11" s="526"/>
    </row>
    <row r="12" spans="1:9" ht="24" customHeight="1" x14ac:dyDescent="0.55000000000000004">
      <c r="A12" s="205"/>
      <c r="B12" s="524" t="s">
        <v>3</v>
      </c>
      <c r="C12" s="243"/>
      <c r="D12" s="243"/>
      <c r="E12" s="243"/>
      <c r="F12" s="243"/>
      <c r="G12" s="526"/>
    </row>
    <row r="13" spans="1:9" ht="24" customHeight="1" x14ac:dyDescent="0.55000000000000004">
      <c r="A13" s="206" t="s">
        <v>38</v>
      </c>
      <c r="B13" s="241"/>
      <c r="C13" s="243"/>
      <c r="D13" s="247"/>
      <c r="E13" s="247"/>
      <c r="F13" s="247"/>
      <c r="G13" s="526"/>
    </row>
    <row r="14" spans="1:9" ht="24" customHeight="1" x14ac:dyDescent="0.55000000000000004">
      <c r="A14" s="207" t="s">
        <v>9</v>
      </c>
      <c r="B14" s="241"/>
      <c r="C14" s="243"/>
      <c r="D14" s="247"/>
      <c r="E14" s="247"/>
      <c r="F14" s="247"/>
      <c r="G14" s="526"/>
    </row>
    <row r="15" spans="1:9" ht="24" customHeight="1" x14ac:dyDescent="0.55000000000000004">
      <c r="A15" s="208" t="s">
        <v>277</v>
      </c>
      <c r="B15" s="241" t="s">
        <v>2</v>
      </c>
      <c r="C15" s="261">
        <f>SUM(D15:F15)</f>
        <v>28000</v>
      </c>
      <c r="D15" s="255"/>
      <c r="E15" s="255"/>
      <c r="F15" s="255">
        <v>28000</v>
      </c>
      <c r="G15" s="526"/>
      <c r="H15" s="589">
        <v>28000</v>
      </c>
      <c r="I15" s="615">
        <f t="shared" ref="I15:I23" si="0">H15-C15</f>
        <v>0</v>
      </c>
    </row>
    <row r="16" spans="1:9" ht="24" customHeight="1" x14ac:dyDescent="0.55000000000000004">
      <c r="A16" s="207" t="s">
        <v>10</v>
      </c>
      <c r="B16" s="241"/>
      <c r="C16" s="243"/>
      <c r="D16" s="247"/>
      <c r="E16" s="247"/>
      <c r="F16" s="247"/>
      <c r="G16" s="526"/>
      <c r="I16" s="615">
        <f t="shared" si="0"/>
        <v>0</v>
      </c>
    </row>
    <row r="17" spans="1:9" ht="24" customHeight="1" x14ac:dyDescent="0.55000000000000004">
      <c r="A17" s="208" t="s">
        <v>264</v>
      </c>
      <c r="B17" s="241" t="s">
        <v>2</v>
      </c>
      <c r="C17" s="261">
        <f>SUM(D17:F17)</f>
        <v>22000</v>
      </c>
      <c r="D17" s="255"/>
      <c r="E17" s="255"/>
      <c r="F17" s="255">
        <v>22000</v>
      </c>
      <c r="G17" s="526"/>
      <c r="H17" s="589">
        <v>22000</v>
      </c>
      <c r="I17" s="615">
        <f t="shared" si="0"/>
        <v>0</v>
      </c>
    </row>
    <row r="18" spans="1:9" ht="24" customHeight="1" x14ac:dyDescent="0.55000000000000004">
      <c r="A18" s="208" t="s">
        <v>289</v>
      </c>
      <c r="B18" s="241" t="s">
        <v>2</v>
      </c>
      <c r="C18" s="261">
        <f>SUM(D18:F18)</f>
        <v>216000</v>
      </c>
      <c r="D18" s="255">
        <v>216000</v>
      </c>
      <c r="E18" s="255"/>
      <c r="F18" s="255"/>
      <c r="G18" s="526"/>
      <c r="H18" s="589">
        <v>216000</v>
      </c>
      <c r="I18" s="615">
        <f t="shared" si="0"/>
        <v>0</v>
      </c>
    </row>
    <row r="19" spans="1:9" ht="24" customHeight="1" x14ac:dyDescent="0.55000000000000004">
      <c r="A19" s="207" t="s">
        <v>11</v>
      </c>
      <c r="B19" s="241"/>
      <c r="C19" s="243"/>
      <c r="D19" s="254"/>
      <c r="E19" s="254"/>
      <c r="F19" s="254"/>
      <c r="G19" s="526"/>
      <c r="I19" s="615">
        <f t="shared" si="0"/>
        <v>0</v>
      </c>
    </row>
    <row r="20" spans="1:9" s="122" customFormat="1" ht="24" hidden="1" customHeight="1" x14ac:dyDescent="0.55000000000000004">
      <c r="A20" s="208" t="s">
        <v>266</v>
      </c>
      <c r="B20" s="241" t="s">
        <v>2</v>
      </c>
      <c r="C20" s="251">
        <f t="shared" ref="C20:C24" si="1">SUM(D20:F20)</f>
        <v>0</v>
      </c>
      <c r="D20" s="244"/>
      <c r="E20" s="244"/>
      <c r="F20" s="244"/>
      <c r="G20" s="526"/>
      <c r="H20" s="589"/>
      <c r="I20" s="615">
        <f t="shared" si="0"/>
        <v>0</v>
      </c>
    </row>
    <row r="21" spans="1:9" ht="24" customHeight="1" x14ac:dyDescent="0.55000000000000004">
      <c r="A21" s="208" t="s">
        <v>436</v>
      </c>
      <c r="B21" s="241" t="s">
        <v>2</v>
      </c>
      <c r="C21" s="261">
        <f t="shared" si="1"/>
        <v>95000</v>
      </c>
      <c r="D21" s="255">
        <v>95000</v>
      </c>
      <c r="E21" s="255"/>
      <c r="F21" s="255"/>
      <c r="G21" s="526"/>
      <c r="H21" s="589">
        <v>95000</v>
      </c>
      <c r="I21" s="615">
        <f t="shared" si="0"/>
        <v>0</v>
      </c>
    </row>
    <row r="22" spans="1:9" ht="24" customHeight="1" x14ac:dyDescent="0.55000000000000004">
      <c r="A22" s="208" t="s">
        <v>267</v>
      </c>
      <c r="B22" s="245" t="s">
        <v>2</v>
      </c>
      <c r="C22" s="498">
        <f t="shared" si="1"/>
        <v>44800</v>
      </c>
      <c r="D22" s="443">
        <v>44800</v>
      </c>
      <c r="E22" s="443"/>
      <c r="F22" s="443"/>
      <c r="G22" s="526"/>
      <c r="H22" s="589">
        <v>44800</v>
      </c>
      <c r="I22" s="615">
        <f t="shared" si="0"/>
        <v>0</v>
      </c>
    </row>
    <row r="23" spans="1:9" ht="24" customHeight="1" x14ac:dyDescent="0.55000000000000004">
      <c r="A23" s="223" t="s">
        <v>269</v>
      </c>
      <c r="B23" s="236" t="s">
        <v>2</v>
      </c>
      <c r="C23" s="590">
        <f t="shared" si="1"/>
        <v>13200</v>
      </c>
      <c r="D23" s="211">
        <v>13200</v>
      </c>
      <c r="E23" s="211"/>
      <c r="F23" s="211"/>
      <c r="G23" s="526"/>
      <c r="H23" s="589">
        <v>13200</v>
      </c>
      <c r="I23" s="615">
        <f t="shared" si="0"/>
        <v>0</v>
      </c>
    </row>
    <row r="24" spans="1:9" ht="24" customHeight="1" x14ac:dyDescent="0.55000000000000004">
      <c r="A24" s="468" t="s">
        <v>365</v>
      </c>
      <c r="B24" s="196" t="s">
        <v>2</v>
      </c>
      <c r="C24" s="266">
        <f t="shared" si="1"/>
        <v>419000</v>
      </c>
      <c r="D24" s="266">
        <f>D7</f>
        <v>369000</v>
      </c>
      <c r="E24" s="266">
        <f>E7</f>
        <v>0</v>
      </c>
      <c r="F24" s="226">
        <f>F7</f>
        <v>50000</v>
      </c>
      <c r="G24" s="526"/>
      <c r="I24" s="615"/>
    </row>
    <row r="25" spans="1:9" ht="24" customHeight="1" x14ac:dyDescent="0.55000000000000004">
      <c r="A25" s="495"/>
      <c r="B25" s="196" t="s">
        <v>3</v>
      </c>
      <c r="C25" s="197"/>
      <c r="D25" s="198"/>
      <c r="E25" s="198"/>
      <c r="F25" s="198"/>
      <c r="G25" s="526"/>
      <c r="I25" s="615">
        <f t="shared" ref="I25:I30" si="2">H25-C25</f>
        <v>0</v>
      </c>
    </row>
    <row r="26" spans="1:9" ht="24" customHeight="1" x14ac:dyDescent="0.55000000000000004">
      <c r="A26" s="195" t="s">
        <v>366</v>
      </c>
      <c r="B26" s="196" t="s">
        <v>2</v>
      </c>
      <c r="C26" s="197">
        <f>SUM(D26:F26)</f>
        <v>0</v>
      </c>
      <c r="D26" s="198">
        <v>0</v>
      </c>
      <c r="E26" s="198">
        <v>0</v>
      </c>
      <c r="F26" s="198">
        <v>0</v>
      </c>
      <c r="G26" s="526"/>
      <c r="I26" s="615">
        <f t="shared" si="2"/>
        <v>0</v>
      </c>
    </row>
    <row r="27" spans="1:9" ht="24" customHeight="1" x14ac:dyDescent="0.55000000000000004">
      <c r="A27" s="495"/>
      <c r="B27" s="196" t="s">
        <v>3</v>
      </c>
      <c r="C27" s="197"/>
      <c r="D27" s="198"/>
      <c r="E27" s="198"/>
      <c r="F27" s="198"/>
      <c r="G27" s="526"/>
      <c r="I27" s="615">
        <f t="shared" si="2"/>
        <v>0</v>
      </c>
    </row>
    <row r="28" spans="1:9" ht="24" customHeight="1" x14ac:dyDescent="0.55000000000000004">
      <c r="A28" s="673" t="s">
        <v>1</v>
      </c>
      <c r="B28" s="225" t="s">
        <v>2</v>
      </c>
      <c r="C28" s="226">
        <f>SUM(D28:F28)</f>
        <v>419000</v>
      </c>
      <c r="D28" s="226">
        <f>D24+D26</f>
        <v>369000</v>
      </c>
      <c r="E28" s="226">
        <f>E24+E26</f>
        <v>0</v>
      </c>
      <c r="F28" s="226">
        <f>F24+F26</f>
        <v>50000</v>
      </c>
      <c r="G28" s="526"/>
      <c r="I28" s="615">
        <f t="shared" si="2"/>
        <v>-419000</v>
      </c>
    </row>
    <row r="29" spans="1:9" ht="24" customHeight="1" x14ac:dyDescent="0.55000000000000004">
      <c r="A29" s="674"/>
      <c r="B29" s="225" t="s">
        <v>3</v>
      </c>
      <c r="C29" s="226"/>
      <c r="D29" s="227"/>
      <c r="E29" s="227"/>
      <c r="F29" s="227"/>
      <c r="G29" s="526"/>
      <c r="I29" s="615">
        <f t="shared" si="2"/>
        <v>0</v>
      </c>
    </row>
    <row r="30" spans="1:9" ht="23.1" customHeight="1" x14ac:dyDescent="0.55000000000000004">
      <c r="A30" s="190" t="s">
        <v>230</v>
      </c>
      <c r="B30" s="526"/>
      <c r="C30" s="526"/>
      <c r="D30" s="526"/>
      <c r="E30" s="526"/>
      <c r="F30" s="526"/>
      <c r="G30" s="526"/>
      <c r="I30" s="615">
        <f t="shared" si="2"/>
        <v>0</v>
      </c>
    </row>
    <row r="31" spans="1:9" ht="23.1" customHeight="1" x14ac:dyDescent="0.55000000000000004">
      <c r="A31" s="190"/>
      <c r="B31" s="526"/>
      <c r="C31" s="526"/>
      <c r="D31" s="526"/>
      <c r="E31" s="526"/>
      <c r="F31" s="526"/>
      <c r="G31" s="526"/>
      <c r="I31" s="615"/>
    </row>
    <row r="32" spans="1:9" ht="23.1" customHeight="1" x14ac:dyDescent="0.55000000000000004">
      <c r="A32" s="190"/>
      <c r="B32" s="526"/>
      <c r="C32" s="526"/>
      <c r="D32" s="526"/>
      <c r="E32" s="526"/>
      <c r="F32" s="526"/>
      <c r="G32" s="526"/>
      <c r="I32" s="615"/>
    </row>
    <row r="33" spans="1:10" ht="23.1" customHeight="1" x14ac:dyDescent="0.55000000000000004">
      <c r="A33" s="190"/>
      <c r="B33" s="526"/>
      <c r="C33" s="526"/>
      <c r="D33" s="526"/>
      <c r="E33" s="526"/>
      <c r="F33" s="526"/>
      <c r="G33" s="526"/>
      <c r="I33" s="615"/>
    </row>
    <row r="34" spans="1:10" ht="23.1" customHeight="1" x14ac:dyDescent="0.55000000000000004">
      <c r="A34" s="526"/>
      <c r="B34" s="526"/>
      <c r="C34" s="602">
        <f>C28-C7</f>
        <v>0</v>
      </c>
      <c r="D34" s="602">
        <f>D28-D7</f>
        <v>0</v>
      </c>
      <c r="E34" s="602">
        <f>E28-E7</f>
        <v>0</v>
      </c>
      <c r="F34" s="602">
        <f>F28-F7</f>
        <v>0</v>
      </c>
      <c r="G34" s="526"/>
      <c r="I34" s="615"/>
    </row>
    <row r="35" spans="1:10" ht="23.1" customHeight="1" x14ac:dyDescent="0.55000000000000004">
      <c r="A35" s="199" t="s">
        <v>194</v>
      </c>
      <c r="B35" s="540" t="s">
        <v>2</v>
      </c>
      <c r="C35" s="541">
        <f>SUM(D35:F35)</f>
        <v>336500</v>
      </c>
      <c r="D35" s="541">
        <f>D37</f>
        <v>274700</v>
      </c>
      <c r="E35" s="541">
        <f>E37</f>
        <v>42900</v>
      </c>
      <c r="F35" s="201">
        <f>F37</f>
        <v>18900</v>
      </c>
      <c r="G35" s="526"/>
      <c r="I35" s="615">
        <f t="shared" ref="I35:I55" si="3">H35-C35</f>
        <v>-336500</v>
      </c>
    </row>
    <row r="36" spans="1:10" ht="23.1" customHeight="1" x14ac:dyDescent="0.55000000000000004">
      <c r="A36" s="203"/>
      <c r="B36" s="537" t="s">
        <v>3</v>
      </c>
      <c r="C36" s="538"/>
      <c r="D36" s="542"/>
      <c r="E36" s="542"/>
      <c r="F36" s="542"/>
      <c r="G36" s="526"/>
      <c r="I36" s="615">
        <f t="shared" si="3"/>
        <v>0</v>
      </c>
    </row>
    <row r="37" spans="1:10" ht="23.1" customHeight="1" x14ac:dyDescent="0.55000000000000004">
      <c r="A37" s="199" t="s">
        <v>359</v>
      </c>
      <c r="B37" s="200" t="s">
        <v>2</v>
      </c>
      <c r="C37" s="538">
        <f>SUM(D37:F37)</f>
        <v>336500</v>
      </c>
      <c r="D37" s="538">
        <f>D39+D46</f>
        <v>274700</v>
      </c>
      <c r="E37" s="538">
        <f>E39+E46</f>
        <v>42900</v>
      </c>
      <c r="F37" s="201">
        <f>F39+F46</f>
        <v>18900</v>
      </c>
      <c r="G37" s="526"/>
      <c r="H37" s="589">
        <f>F37-255600-80900</f>
        <v>-317600</v>
      </c>
      <c r="I37" s="615">
        <f t="shared" si="3"/>
        <v>-654100</v>
      </c>
    </row>
    <row r="38" spans="1:10" ht="23.1" customHeight="1" x14ac:dyDescent="0.55000000000000004">
      <c r="A38" s="230"/>
      <c r="B38" s="200" t="s">
        <v>3</v>
      </c>
      <c r="C38" s="201"/>
      <c r="D38" s="202"/>
      <c r="E38" s="202"/>
      <c r="F38" s="202"/>
      <c r="G38" s="526"/>
      <c r="I38" s="615">
        <f t="shared" si="3"/>
        <v>0</v>
      </c>
    </row>
    <row r="39" spans="1:10" ht="24" customHeight="1" x14ac:dyDescent="0.55000000000000004">
      <c r="A39" s="205" t="s">
        <v>338</v>
      </c>
      <c r="B39" s="566" t="s">
        <v>2</v>
      </c>
      <c r="C39" s="501">
        <f>SUM(D39:F39)</f>
        <v>255600</v>
      </c>
      <c r="D39" s="457">
        <f>SUM(D42:D45)</f>
        <v>230500</v>
      </c>
      <c r="E39" s="457">
        <f>SUM(E42:E45)</f>
        <v>14500</v>
      </c>
      <c r="F39" s="457">
        <f>SUM(F42:F45)</f>
        <v>10600</v>
      </c>
      <c r="G39" s="526"/>
      <c r="I39" s="615">
        <f t="shared" si="3"/>
        <v>-255600</v>
      </c>
    </row>
    <row r="40" spans="1:10" ht="24" customHeight="1" x14ac:dyDescent="0.55000000000000004">
      <c r="A40" s="205"/>
      <c r="B40" s="524" t="s">
        <v>3</v>
      </c>
      <c r="C40" s="502"/>
      <c r="D40" s="243"/>
      <c r="E40" s="243"/>
      <c r="F40" s="243"/>
      <c r="G40" s="526"/>
      <c r="I40" s="615">
        <f t="shared" si="3"/>
        <v>0</v>
      </c>
    </row>
    <row r="41" spans="1:10" ht="24" customHeight="1" x14ac:dyDescent="0.55000000000000004">
      <c r="A41" s="206" t="s">
        <v>38</v>
      </c>
      <c r="B41" s="241"/>
      <c r="C41" s="502"/>
      <c r="D41" s="247"/>
      <c r="E41" s="247"/>
      <c r="F41" s="247"/>
      <c r="G41" s="526"/>
      <c r="I41" s="615">
        <f t="shared" si="3"/>
        <v>0</v>
      </c>
    </row>
    <row r="42" spans="1:10" ht="24" customHeight="1" x14ac:dyDescent="0.55000000000000004">
      <c r="A42" s="207" t="s">
        <v>10</v>
      </c>
      <c r="B42" s="241"/>
      <c r="C42" s="261"/>
      <c r="D42" s="261"/>
      <c r="E42" s="261"/>
      <c r="F42" s="261"/>
      <c r="G42" s="526"/>
      <c r="I42" s="615">
        <f t="shared" si="3"/>
        <v>0</v>
      </c>
    </row>
    <row r="43" spans="1:10" ht="24" customHeight="1" x14ac:dyDescent="0.55000000000000004">
      <c r="A43" s="208" t="s">
        <v>289</v>
      </c>
      <c r="B43" s="241" t="s">
        <v>2</v>
      </c>
      <c r="C43" s="261">
        <f>SUM(D43:F43)</f>
        <v>216000</v>
      </c>
      <c r="D43" s="255">
        <v>216000</v>
      </c>
      <c r="E43" s="255"/>
      <c r="F43" s="255"/>
      <c r="G43" s="526"/>
      <c r="H43" s="589">
        <v>216000</v>
      </c>
      <c r="I43" s="615">
        <f t="shared" si="3"/>
        <v>0</v>
      </c>
    </row>
    <row r="44" spans="1:10" ht="24" customHeight="1" x14ac:dyDescent="0.55000000000000004">
      <c r="A44" s="207" t="s">
        <v>11</v>
      </c>
      <c r="B44" s="241"/>
      <c r="C44" s="261">
        <f>SUM(D44:F44)</f>
        <v>0</v>
      </c>
      <c r="D44" s="255"/>
      <c r="E44" s="255"/>
      <c r="F44" s="255"/>
      <c r="G44" s="526"/>
      <c r="I44" s="615">
        <f t="shared" si="3"/>
        <v>0</v>
      </c>
    </row>
    <row r="45" spans="1:10" ht="24" customHeight="1" x14ac:dyDescent="0.55000000000000004">
      <c r="A45" s="223" t="s">
        <v>298</v>
      </c>
      <c r="B45" s="449" t="s">
        <v>2</v>
      </c>
      <c r="C45" s="499">
        <f>SUM(D45:F45)</f>
        <v>39600</v>
      </c>
      <c r="D45" s="462">
        <v>14500</v>
      </c>
      <c r="E45" s="462">
        <v>14500</v>
      </c>
      <c r="F45" s="462">
        <f>14500-3900</f>
        <v>10600</v>
      </c>
      <c r="G45" s="526"/>
      <c r="H45" s="589">
        <v>39600</v>
      </c>
      <c r="I45" s="615">
        <f t="shared" si="3"/>
        <v>0</v>
      </c>
    </row>
    <row r="46" spans="1:10" s="122" customFormat="1" ht="24" customHeight="1" x14ac:dyDescent="0.55000000000000004">
      <c r="A46" s="205" t="s">
        <v>171</v>
      </c>
      <c r="B46" s="525" t="s">
        <v>2</v>
      </c>
      <c r="C46" s="471">
        <f>SUM(D46:F46)</f>
        <v>80900</v>
      </c>
      <c r="D46" s="471">
        <f>SUM(D47:D49)</f>
        <v>44200</v>
      </c>
      <c r="E46" s="471">
        <f t="shared" ref="E46:F46" si="4">SUM(E47:E49)</f>
        <v>28400</v>
      </c>
      <c r="F46" s="471">
        <f t="shared" si="4"/>
        <v>8300</v>
      </c>
      <c r="G46" s="526"/>
      <c r="H46" s="589"/>
      <c r="I46" s="615">
        <f t="shared" si="3"/>
        <v>-80900</v>
      </c>
      <c r="J46" s="121"/>
    </row>
    <row r="47" spans="1:10" s="122" customFormat="1" ht="24" customHeight="1" x14ac:dyDescent="0.55000000000000004">
      <c r="A47" s="479"/>
      <c r="B47" s="524" t="s">
        <v>3</v>
      </c>
      <c r="C47" s="496"/>
      <c r="D47" s="254"/>
      <c r="E47" s="254"/>
      <c r="F47" s="254"/>
      <c r="G47" s="526"/>
      <c r="H47" s="589"/>
      <c r="I47" s="615">
        <f t="shared" si="3"/>
        <v>0</v>
      </c>
    </row>
    <row r="48" spans="1:10" s="122" customFormat="1" ht="24" customHeight="1" x14ac:dyDescent="0.55000000000000004">
      <c r="A48" s="208" t="s">
        <v>299</v>
      </c>
      <c r="B48" s="241" t="s">
        <v>2</v>
      </c>
      <c r="C48" s="261">
        <f>SUM(D48:F48)</f>
        <v>80900</v>
      </c>
      <c r="D48" s="255">
        <v>44200</v>
      </c>
      <c r="E48" s="255">
        <v>28400</v>
      </c>
      <c r="F48" s="255">
        <v>8300</v>
      </c>
      <c r="G48" s="526"/>
      <c r="H48" s="589">
        <v>80900</v>
      </c>
      <c r="I48" s="615">
        <f t="shared" si="3"/>
        <v>0</v>
      </c>
    </row>
    <row r="49" spans="1:9" s="122" customFormat="1" ht="24" customHeight="1" x14ac:dyDescent="0.55000000000000004">
      <c r="A49" s="208"/>
      <c r="B49" s="449"/>
      <c r="C49" s="261"/>
      <c r="D49" s="255"/>
      <c r="E49" s="255"/>
      <c r="F49" s="255"/>
      <c r="G49" s="526"/>
      <c r="H49" s="589"/>
      <c r="I49" s="615">
        <f t="shared" si="3"/>
        <v>0</v>
      </c>
    </row>
    <row r="50" spans="1:9" ht="24" customHeight="1" x14ac:dyDescent="0.55000000000000004">
      <c r="A50" s="468" t="s">
        <v>365</v>
      </c>
      <c r="B50" s="196" t="s">
        <v>2</v>
      </c>
      <c r="C50" s="266">
        <f>SUM(D50:F50)</f>
        <v>336500</v>
      </c>
      <c r="D50" s="266">
        <f>D39+D46</f>
        <v>274700</v>
      </c>
      <c r="E50" s="266">
        <f>E39+E46</f>
        <v>42900</v>
      </c>
      <c r="F50" s="226">
        <f>F39+F46</f>
        <v>18900</v>
      </c>
      <c r="G50" s="526"/>
      <c r="I50" s="615">
        <f t="shared" si="3"/>
        <v>-336500</v>
      </c>
    </row>
    <row r="51" spans="1:9" ht="24" customHeight="1" x14ac:dyDescent="0.55000000000000004">
      <c r="A51" s="495"/>
      <c r="B51" s="196" t="s">
        <v>3</v>
      </c>
      <c r="C51" s="197"/>
      <c r="D51" s="198"/>
      <c r="E51" s="198"/>
      <c r="F51" s="198"/>
      <c r="G51" s="526"/>
      <c r="I51" s="615">
        <f t="shared" si="3"/>
        <v>0</v>
      </c>
    </row>
    <row r="52" spans="1:9" ht="24" customHeight="1" x14ac:dyDescent="0.55000000000000004">
      <c r="A52" s="195" t="s">
        <v>366</v>
      </c>
      <c r="B52" s="196" t="s">
        <v>2</v>
      </c>
      <c r="C52" s="197">
        <f>SUM(D52:F52)</f>
        <v>0</v>
      </c>
      <c r="D52" s="198">
        <v>0</v>
      </c>
      <c r="E52" s="198">
        <v>0</v>
      </c>
      <c r="F52" s="198">
        <v>0</v>
      </c>
      <c r="G52" s="526"/>
      <c r="I52" s="615">
        <f t="shared" si="3"/>
        <v>0</v>
      </c>
    </row>
    <row r="53" spans="1:9" ht="24" customHeight="1" x14ac:dyDescent="0.55000000000000004">
      <c r="A53" s="495"/>
      <c r="B53" s="196" t="s">
        <v>3</v>
      </c>
      <c r="C53" s="197"/>
      <c r="D53" s="198"/>
      <c r="E53" s="198"/>
      <c r="F53" s="198"/>
      <c r="G53" s="526"/>
      <c r="I53" s="615">
        <f t="shared" si="3"/>
        <v>0</v>
      </c>
    </row>
    <row r="54" spans="1:9" ht="24" customHeight="1" x14ac:dyDescent="0.55000000000000004">
      <c r="A54" s="673" t="s">
        <v>1</v>
      </c>
      <c r="B54" s="225" t="s">
        <v>2</v>
      </c>
      <c r="C54" s="226">
        <f>SUM(D54:F54)</f>
        <v>336500</v>
      </c>
      <c r="D54" s="226">
        <f>D50+D52</f>
        <v>274700</v>
      </c>
      <c r="E54" s="226">
        <f>E50+E52</f>
        <v>42900</v>
      </c>
      <c r="F54" s="226">
        <f>F50+F52</f>
        <v>18900</v>
      </c>
      <c r="G54" s="526"/>
      <c r="I54" s="615">
        <f t="shared" si="3"/>
        <v>-336500</v>
      </c>
    </row>
    <row r="55" spans="1:9" ht="24" customHeight="1" x14ac:dyDescent="0.55000000000000004">
      <c r="A55" s="674"/>
      <c r="B55" s="225" t="s">
        <v>3</v>
      </c>
      <c r="C55" s="226"/>
      <c r="D55" s="227"/>
      <c r="E55" s="227"/>
      <c r="F55" s="227"/>
      <c r="G55" s="526"/>
      <c r="I55" s="615">
        <f t="shared" si="3"/>
        <v>0</v>
      </c>
    </row>
    <row r="56" spans="1:9" ht="23.1" customHeight="1" x14ac:dyDescent="0.55000000000000004">
      <c r="A56" s="190" t="s">
        <v>230</v>
      </c>
      <c r="B56" s="526"/>
      <c r="C56" s="526"/>
      <c r="D56" s="526"/>
      <c r="E56" s="526"/>
      <c r="F56" s="526"/>
      <c r="G56" s="526"/>
      <c r="I56" s="615"/>
    </row>
    <row r="57" spans="1:9" ht="23.1" customHeight="1" x14ac:dyDescent="0.55000000000000004">
      <c r="A57" s="526"/>
      <c r="B57" s="526"/>
      <c r="C57" s="602">
        <f>C54-C35</f>
        <v>0</v>
      </c>
      <c r="D57" s="602">
        <f>D54-D35</f>
        <v>0</v>
      </c>
      <c r="E57" s="602">
        <f>E54-E35</f>
        <v>0</v>
      </c>
      <c r="F57" s="602">
        <f>F54-F35</f>
        <v>0</v>
      </c>
      <c r="G57" s="526"/>
      <c r="I57" s="615"/>
    </row>
    <row r="58" spans="1:9" ht="23.1" customHeight="1" x14ac:dyDescent="0.55000000000000004">
      <c r="A58" s="526"/>
      <c r="B58" s="526"/>
      <c r="C58" s="602"/>
      <c r="D58" s="602"/>
      <c r="E58" s="602"/>
      <c r="F58" s="602"/>
      <c r="G58" s="526"/>
      <c r="I58" s="615"/>
    </row>
    <row r="59" spans="1:9" ht="23.1" customHeight="1" x14ac:dyDescent="0.55000000000000004">
      <c r="A59" s="526"/>
      <c r="B59" s="526"/>
      <c r="C59" s="526"/>
      <c r="D59" s="526"/>
      <c r="E59" s="526"/>
      <c r="F59" s="526"/>
      <c r="G59" s="526"/>
      <c r="I59" s="615"/>
    </row>
    <row r="60" spans="1:9" ht="23.1" customHeight="1" x14ac:dyDescent="0.55000000000000004">
      <c r="A60" s="526"/>
      <c r="B60" s="526"/>
      <c r="C60" s="526"/>
      <c r="D60" s="526"/>
      <c r="E60" s="526"/>
      <c r="F60" s="526"/>
      <c r="G60" s="526"/>
      <c r="I60" s="615"/>
    </row>
    <row r="61" spans="1:9" ht="23.1" customHeight="1" x14ac:dyDescent="0.55000000000000004">
      <c r="A61" s="240"/>
      <c r="B61" s="240"/>
      <c r="C61" s="480"/>
      <c r="D61" s="467"/>
      <c r="E61" s="467"/>
      <c r="F61" s="467"/>
      <c r="G61" s="526"/>
      <c r="I61" s="615">
        <f t="shared" ref="I61:I71" si="5">H61-C61</f>
        <v>0</v>
      </c>
    </row>
    <row r="62" spans="1:9" ht="23.1" customHeight="1" x14ac:dyDescent="0.55000000000000004">
      <c r="A62" s="468" t="s">
        <v>194</v>
      </c>
      <c r="B62" s="587" t="s">
        <v>2</v>
      </c>
      <c r="C62" s="266">
        <f>SUM(D62:F62)</f>
        <v>581900</v>
      </c>
      <c r="D62" s="266">
        <f>D64</f>
        <v>388620</v>
      </c>
      <c r="E62" s="266">
        <f t="shared" ref="E62:F62" si="6">E64</f>
        <v>110960</v>
      </c>
      <c r="F62" s="266">
        <f t="shared" si="6"/>
        <v>82320</v>
      </c>
      <c r="G62" s="526"/>
      <c r="I62" s="615">
        <f t="shared" si="5"/>
        <v>-581900</v>
      </c>
    </row>
    <row r="63" spans="1:9" ht="23.1" customHeight="1" x14ac:dyDescent="0.55000000000000004">
      <c r="A63" s="495"/>
      <c r="B63" s="196" t="s">
        <v>3</v>
      </c>
      <c r="C63" s="197"/>
      <c r="D63" s="197"/>
      <c r="E63" s="197"/>
      <c r="F63" s="197"/>
      <c r="G63" s="526"/>
      <c r="I63" s="615">
        <f t="shared" si="5"/>
        <v>0</v>
      </c>
    </row>
    <row r="64" spans="1:9" ht="23.1" customHeight="1" x14ac:dyDescent="0.55000000000000004">
      <c r="A64" s="199" t="s">
        <v>360</v>
      </c>
      <c r="B64" s="200" t="s">
        <v>2</v>
      </c>
      <c r="C64" s="201">
        <f>SUM(D64:F64)</f>
        <v>581900</v>
      </c>
      <c r="D64" s="201">
        <f>D66+D75</f>
        <v>388620</v>
      </c>
      <c r="E64" s="201">
        <f t="shared" ref="E64:F64" si="7">E66+E75</f>
        <v>110960</v>
      </c>
      <c r="F64" s="201">
        <f t="shared" si="7"/>
        <v>82320</v>
      </c>
      <c r="G64" s="526"/>
      <c r="H64" s="589">
        <f>F64-306300-275600</f>
        <v>-499580</v>
      </c>
      <c r="I64" s="615">
        <f t="shared" si="5"/>
        <v>-1081480</v>
      </c>
    </row>
    <row r="65" spans="1:10" ht="23.1" customHeight="1" x14ac:dyDescent="0.55000000000000004">
      <c r="A65" s="230"/>
      <c r="B65" s="200" t="s">
        <v>3</v>
      </c>
      <c r="C65" s="201"/>
      <c r="D65" s="202"/>
      <c r="E65" s="202"/>
      <c r="F65" s="202"/>
      <c r="G65" s="526"/>
      <c r="I65" s="615">
        <f t="shared" si="5"/>
        <v>0</v>
      </c>
    </row>
    <row r="66" spans="1:10" ht="24" customHeight="1" x14ac:dyDescent="0.55000000000000004">
      <c r="A66" s="205" t="s">
        <v>338</v>
      </c>
      <c r="B66" s="566" t="s">
        <v>2</v>
      </c>
      <c r="C66" s="474">
        <f>SUM(D66:F66)</f>
        <v>306300</v>
      </c>
      <c r="D66" s="474">
        <f>SUM(D69:D73)</f>
        <v>306300</v>
      </c>
      <c r="E66" s="474">
        <f t="shared" ref="E66:F66" si="8">SUM(E69:E73)</f>
        <v>0</v>
      </c>
      <c r="F66" s="653">
        <f t="shared" si="8"/>
        <v>0</v>
      </c>
      <c r="G66" s="526"/>
      <c r="I66" s="615">
        <f t="shared" si="5"/>
        <v>-306300</v>
      </c>
    </row>
    <row r="67" spans="1:10" ht="24" customHeight="1" x14ac:dyDescent="0.55000000000000004">
      <c r="A67" s="205"/>
      <c r="B67" s="524" t="s">
        <v>3</v>
      </c>
      <c r="C67" s="243"/>
      <c r="D67" s="243"/>
      <c r="E67" s="243"/>
      <c r="F67" s="247"/>
      <c r="G67" s="526"/>
      <c r="I67" s="615">
        <f t="shared" si="5"/>
        <v>0</v>
      </c>
    </row>
    <row r="68" spans="1:10" ht="24" customHeight="1" x14ac:dyDescent="0.55000000000000004">
      <c r="A68" s="206" t="s">
        <v>38</v>
      </c>
      <c r="B68" s="241"/>
      <c r="C68" s="243"/>
      <c r="D68" s="247"/>
      <c r="E68" s="247"/>
      <c r="F68" s="247"/>
      <c r="G68" s="526"/>
      <c r="I68" s="615">
        <f t="shared" si="5"/>
        <v>0</v>
      </c>
    </row>
    <row r="69" spans="1:10" ht="24" customHeight="1" x14ac:dyDescent="0.55000000000000004">
      <c r="A69" s="207" t="s">
        <v>10</v>
      </c>
      <c r="B69" s="241"/>
      <c r="C69" s="243"/>
      <c r="D69" s="247"/>
      <c r="E69" s="247"/>
      <c r="F69" s="247"/>
      <c r="G69" s="526"/>
      <c r="I69" s="615">
        <f t="shared" si="5"/>
        <v>0</v>
      </c>
    </row>
    <row r="70" spans="1:10" ht="24" customHeight="1" x14ac:dyDescent="0.55000000000000004">
      <c r="A70" s="208" t="s">
        <v>263</v>
      </c>
      <c r="B70" s="241" t="s">
        <v>2</v>
      </c>
      <c r="C70" s="243">
        <f>SUM(D70:F70)</f>
        <v>54300</v>
      </c>
      <c r="D70" s="255">
        <v>54300</v>
      </c>
      <c r="E70" s="255"/>
      <c r="F70" s="255"/>
      <c r="G70" s="526"/>
      <c r="H70" s="589">
        <v>54300</v>
      </c>
      <c r="I70" s="615">
        <f t="shared" si="5"/>
        <v>0</v>
      </c>
    </row>
    <row r="71" spans="1:10" ht="24" customHeight="1" x14ac:dyDescent="0.55000000000000004">
      <c r="A71" s="208" t="s">
        <v>289</v>
      </c>
      <c r="B71" s="241" t="s">
        <v>2</v>
      </c>
      <c r="C71" s="243">
        <f>SUM(D71:F71)</f>
        <v>216000</v>
      </c>
      <c r="D71" s="255">
        <v>216000</v>
      </c>
      <c r="E71" s="255"/>
      <c r="F71" s="255">
        <v>0</v>
      </c>
      <c r="G71" s="526"/>
      <c r="H71" s="589">
        <v>216000</v>
      </c>
      <c r="I71" s="615">
        <f t="shared" si="5"/>
        <v>0</v>
      </c>
    </row>
    <row r="72" spans="1:10" ht="24" customHeight="1" x14ac:dyDescent="0.55000000000000004">
      <c r="A72" s="207" t="s">
        <v>11</v>
      </c>
      <c r="B72" s="245"/>
      <c r="C72" s="256"/>
      <c r="D72" s="443"/>
      <c r="E72" s="443"/>
      <c r="F72" s="443"/>
      <c r="G72" s="526"/>
      <c r="I72" s="615"/>
    </row>
    <row r="73" spans="1:10" ht="24" customHeight="1" x14ac:dyDescent="0.55000000000000004">
      <c r="A73" s="208" t="s">
        <v>268</v>
      </c>
      <c r="B73" s="245" t="s">
        <v>2</v>
      </c>
      <c r="C73" s="498">
        <f>SUM(D73:F73)</f>
        <v>36000</v>
      </c>
      <c r="D73" s="443">
        <v>36000</v>
      </c>
      <c r="E73" s="443">
        <v>0</v>
      </c>
      <c r="F73" s="443">
        <v>0</v>
      </c>
      <c r="G73" s="526"/>
      <c r="H73" s="589">
        <v>36000</v>
      </c>
      <c r="I73" s="615">
        <f>H73-C73</f>
        <v>0</v>
      </c>
    </row>
    <row r="74" spans="1:10" ht="24" customHeight="1" x14ac:dyDescent="0.55000000000000004">
      <c r="A74" s="223"/>
      <c r="B74" s="444"/>
      <c r="C74" s="652"/>
      <c r="D74" s="633"/>
      <c r="E74" s="633"/>
      <c r="F74" s="633"/>
      <c r="G74" s="526"/>
      <c r="I74" s="615"/>
    </row>
    <row r="75" spans="1:10" s="122" customFormat="1" ht="24" customHeight="1" x14ac:dyDescent="0.55000000000000004">
      <c r="A75" s="205" t="s">
        <v>171</v>
      </c>
      <c r="B75" s="525" t="s">
        <v>2</v>
      </c>
      <c r="C75" s="471">
        <f>SUM(D75:F75)</f>
        <v>275600</v>
      </c>
      <c r="D75" s="471">
        <f>SUM(D77)</f>
        <v>82320</v>
      </c>
      <c r="E75" s="471">
        <f>SUM(E77)</f>
        <v>110960</v>
      </c>
      <c r="F75" s="471">
        <f>SUM(F77)</f>
        <v>82320</v>
      </c>
      <c r="G75" s="526"/>
      <c r="H75" s="589"/>
      <c r="I75" s="615">
        <f t="shared" ref="I75:I79" si="9">H75-C75</f>
        <v>-275600</v>
      </c>
      <c r="J75" s="121"/>
    </row>
    <row r="76" spans="1:10" s="122" customFormat="1" ht="24" customHeight="1" x14ac:dyDescent="0.55000000000000004">
      <c r="A76" s="479"/>
      <c r="B76" s="524" t="s">
        <v>3</v>
      </c>
      <c r="C76" s="496"/>
      <c r="D76" s="254"/>
      <c r="E76" s="254"/>
      <c r="F76" s="254"/>
      <c r="G76" s="526"/>
      <c r="H76" s="589"/>
      <c r="I76" s="615">
        <f t="shared" si="9"/>
        <v>0</v>
      </c>
    </row>
    <row r="77" spans="1:10" s="122" customFormat="1" ht="24" customHeight="1" x14ac:dyDescent="0.55000000000000004">
      <c r="A77" s="208" t="s">
        <v>387</v>
      </c>
      <c r="B77" s="241" t="s">
        <v>2</v>
      </c>
      <c r="C77" s="261">
        <f>SUM(D77:F77)</f>
        <v>275600</v>
      </c>
      <c r="D77" s="255">
        <v>82320</v>
      </c>
      <c r="E77" s="255">
        <v>110960</v>
      </c>
      <c r="F77" s="255">
        <v>82320</v>
      </c>
      <c r="G77" s="526"/>
      <c r="H77" s="589">
        <v>275600</v>
      </c>
      <c r="I77" s="615">
        <f t="shared" si="9"/>
        <v>0</v>
      </c>
    </row>
    <row r="78" spans="1:10" s="122" customFormat="1" ht="24" customHeight="1" x14ac:dyDescent="0.55000000000000004">
      <c r="A78" s="208" t="s">
        <v>87</v>
      </c>
      <c r="B78" s="461"/>
      <c r="C78" s="261"/>
      <c r="D78" s="255"/>
      <c r="E78" s="255"/>
      <c r="F78" s="255"/>
      <c r="G78" s="526"/>
      <c r="H78" s="589"/>
      <c r="I78" s="615"/>
    </row>
    <row r="79" spans="1:10" s="122" customFormat="1" ht="24" customHeight="1" x14ac:dyDescent="0.55000000000000004">
      <c r="A79" s="208"/>
      <c r="B79" s="449"/>
      <c r="C79" s="261"/>
      <c r="D79" s="255"/>
      <c r="E79" s="255"/>
      <c r="F79" s="255"/>
      <c r="G79" s="526"/>
      <c r="H79" s="589"/>
      <c r="I79" s="615">
        <f t="shared" si="9"/>
        <v>0</v>
      </c>
    </row>
    <row r="80" spans="1:10" ht="24" customHeight="1" x14ac:dyDescent="0.55000000000000004">
      <c r="A80" s="468" t="s">
        <v>365</v>
      </c>
      <c r="B80" s="196" t="s">
        <v>2</v>
      </c>
      <c r="C80" s="266">
        <f>C64</f>
        <v>581900</v>
      </c>
      <c r="D80" s="266">
        <f>D64</f>
        <v>388620</v>
      </c>
      <c r="E80" s="266">
        <f>E64</f>
        <v>110960</v>
      </c>
      <c r="F80" s="226">
        <f>F64</f>
        <v>82320</v>
      </c>
      <c r="G80" s="526"/>
    </row>
    <row r="81" spans="1:8" ht="24" customHeight="1" x14ac:dyDescent="0.55000000000000004">
      <c r="A81" s="495"/>
      <c r="B81" s="196" t="s">
        <v>3</v>
      </c>
      <c r="C81" s="197" t="s">
        <v>159</v>
      </c>
      <c r="D81" s="197" t="s">
        <v>159</v>
      </c>
      <c r="E81" s="197" t="s">
        <v>159</v>
      </c>
      <c r="F81" s="214" t="s">
        <v>159</v>
      </c>
      <c r="G81" s="526"/>
    </row>
    <row r="82" spans="1:8" ht="24" customHeight="1" x14ac:dyDescent="0.55000000000000004">
      <c r="A82" s="195" t="s">
        <v>366</v>
      </c>
      <c r="B82" s="196" t="s">
        <v>2</v>
      </c>
      <c r="C82" s="197">
        <f>SUM(D82:F82)</f>
        <v>0</v>
      </c>
      <c r="D82" s="197"/>
      <c r="E82" s="197"/>
      <c r="F82" s="214"/>
      <c r="G82" s="526"/>
    </row>
    <row r="83" spans="1:8" ht="24" customHeight="1" x14ac:dyDescent="0.55000000000000004">
      <c r="A83" s="495"/>
      <c r="B83" s="196" t="s">
        <v>3</v>
      </c>
      <c r="C83" s="197"/>
      <c r="D83" s="197"/>
      <c r="E83" s="197"/>
      <c r="F83" s="214"/>
      <c r="G83" s="526"/>
    </row>
    <row r="84" spans="1:8" ht="24" customHeight="1" x14ac:dyDescent="0.55000000000000004">
      <c r="A84" s="673" t="s">
        <v>1</v>
      </c>
      <c r="B84" s="225" t="s">
        <v>2</v>
      </c>
      <c r="C84" s="226">
        <f>SUM(D84:F84)</f>
        <v>581900</v>
      </c>
      <c r="D84" s="226">
        <f>D80+D82</f>
        <v>388620</v>
      </c>
      <c r="E84" s="226">
        <f t="shared" ref="E84:F84" si="10">E80+E82</f>
        <v>110960</v>
      </c>
      <c r="F84" s="226">
        <f t="shared" si="10"/>
        <v>82320</v>
      </c>
      <c r="G84" s="526"/>
    </row>
    <row r="85" spans="1:8" ht="24" customHeight="1" x14ac:dyDescent="0.55000000000000004">
      <c r="A85" s="674"/>
      <c r="B85" s="225" t="s">
        <v>3</v>
      </c>
      <c r="C85" s="226"/>
      <c r="D85" s="227"/>
      <c r="E85" s="227"/>
      <c r="F85" s="227"/>
      <c r="G85" s="526"/>
    </row>
    <row r="86" spans="1:8" ht="23.1" customHeight="1" x14ac:dyDescent="0.55000000000000004">
      <c r="A86" s="190" t="s">
        <v>230</v>
      </c>
      <c r="B86" s="216"/>
      <c r="C86" s="217"/>
      <c r="D86" s="218"/>
      <c r="E86" s="219"/>
      <c r="F86" s="219"/>
      <c r="G86" s="526"/>
    </row>
    <row r="87" spans="1:8" ht="23.1" customHeight="1" x14ac:dyDescent="0.55000000000000004">
      <c r="C87" s="603">
        <f>C84-C62</f>
        <v>0</v>
      </c>
      <c r="D87" s="603">
        <f>D84-D62</f>
        <v>0</v>
      </c>
      <c r="E87" s="603">
        <f>E84-E62</f>
        <v>0</v>
      </c>
      <c r="F87" s="603">
        <f>F84-F62</f>
        <v>0</v>
      </c>
    </row>
    <row r="88" spans="1:8" ht="23.1" customHeight="1" x14ac:dyDescent="0.55000000000000004">
      <c r="C88" s="603"/>
      <c r="D88" s="603"/>
      <c r="E88" s="603"/>
      <c r="F88" s="603"/>
    </row>
    <row r="89" spans="1:8" ht="23.1" customHeight="1" x14ac:dyDescent="0.55000000000000004">
      <c r="C89" s="603"/>
      <c r="D89" s="603"/>
      <c r="E89" s="603"/>
      <c r="F89" s="603"/>
    </row>
    <row r="90" spans="1:8" s="12" customFormat="1" ht="23.1" customHeight="1" x14ac:dyDescent="0.55000000000000004">
      <c r="C90" s="617"/>
      <c r="H90" s="589"/>
    </row>
    <row r="91" spans="1:8" s="12" customFormat="1" ht="23.1" customHeight="1" x14ac:dyDescent="0.55000000000000004">
      <c r="C91" s="619">
        <f>(C66+C39+C11)*30/100</f>
        <v>294270</v>
      </c>
      <c r="D91" s="618">
        <f>D70+D48+D45+D23+D73+D17+D15+D22</f>
        <v>207000</v>
      </c>
      <c r="H91" s="589"/>
    </row>
    <row r="92" spans="1:8" s="12" customFormat="1" x14ac:dyDescent="0.55000000000000004">
      <c r="C92" s="617"/>
      <c r="H92" s="589"/>
    </row>
    <row r="93" spans="1:8" s="12" customFormat="1" x14ac:dyDescent="0.55000000000000004">
      <c r="C93" s="617"/>
      <c r="H93" s="589"/>
    </row>
    <row r="94" spans="1:8" s="12" customFormat="1" x14ac:dyDescent="0.55000000000000004">
      <c r="C94" s="617"/>
      <c r="H94" s="589"/>
    </row>
  </sheetData>
  <mergeCells count="9">
    <mergeCell ref="A54:A55"/>
    <mergeCell ref="A84:A85"/>
    <mergeCell ref="A1:F1"/>
    <mergeCell ref="C5:C6"/>
    <mergeCell ref="A28:A29"/>
    <mergeCell ref="A5:A6"/>
    <mergeCell ref="D5:D6"/>
    <mergeCell ref="E5:E6"/>
    <mergeCell ref="F5:F6"/>
  </mergeCells>
  <pageMargins left="0.59055118110236227" right="0.39370078740157483" top="0.51181102362204722" bottom="0.19685039370078741" header="0.31496062992125984" footer="0.11811023622047245"/>
  <pageSetup paperSize="9" scale="70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BDABED-DAD9-4C73-AFD0-BFCEAEDA8637}">
  <sheetPr>
    <tabColor rgb="FF00B050"/>
  </sheetPr>
  <dimension ref="A1:J291"/>
  <sheetViews>
    <sheetView topLeftCell="A108" workbookViewId="0">
      <selection activeCell="A83" sqref="A83"/>
    </sheetView>
  </sheetViews>
  <sheetFormatPr defaultColWidth="9" defaultRowHeight="24" x14ac:dyDescent="0.55000000000000004"/>
  <cols>
    <col min="1" max="1" width="80.625" style="122" customWidth="1"/>
    <col min="2" max="2" width="8.125" style="122" customWidth="1"/>
    <col min="3" max="3" width="22.625" style="220" customWidth="1"/>
    <col min="4" max="6" width="22.625" style="122" customWidth="1"/>
    <col min="7" max="7" width="1.625" style="122" customWidth="1"/>
    <col min="8" max="8" width="13.375" style="589" customWidth="1"/>
    <col min="9" max="9" width="13.375" style="12" customWidth="1"/>
    <col min="10" max="18" width="39.375" style="122" customWidth="1"/>
    <col min="19" max="16384" width="9" style="122"/>
  </cols>
  <sheetData>
    <row r="1" spans="1:9" ht="24.95" customHeight="1" x14ac:dyDescent="0.55000000000000004">
      <c r="A1" s="672" t="s">
        <v>411</v>
      </c>
      <c r="B1" s="672"/>
      <c r="C1" s="672"/>
      <c r="D1" s="672"/>
      <c r="E1" s="672"/>
      <c r="F1" s="672"/>
      <c r="G1" s="240"/>
    </row>
    <row r="2" spans="1:9" ht="24.95" customHeight="1" x14ac:dyDescent="0.55000000000000004">
      <c r="A2" s="188" t="s">
        <v>55</v>
      </c>
      <c r="B2" s="188"/>
      <c r="C2" s="189"/>
      <c r="D2" s="188"/>
      <c r="E2" s="188"/>
      <c r="F2" s="188"/>
      <c r="G2" s="188"/>
    </row>
    <row r="3" spans="1:9" ht="24.95" customHeight="1" x14ac:dyDescent="0.55000000000000004">
      <c r="A3" s="190" t="s">
        <v>217</v>
      </c>
      <c r="B3" s="190"/>
      <c r="C3" s="191"/>
      <c r="E3" s="192"/>
      <c r="F3" s="192" t="s">
        <v>28</v>
      </c>
      <c r="G3" s="192"/>
    </row>
    <row r="4" spans="1:9" ht="10.5" customHeight="1" x14ac:dyDescent="0.55000000000000004">
      <c r="A4" s="190"/>
      <c r="B4" s="190"/>
      <c r="C4" s="191"/>
      <c r="D4" s="192"/>
      <c r="E4" s="192"/>
      <c r="F4" s="192"/>
      <c r="G4" s="192"/>
    </row>
    <row r="5" spans="1:9" ht="24.95" customHeight="1" x14ac:dyDescent="0.5">
      <c r="A5" s="675" t="s">
        <v>13</v>
      </c>
      <c r="B5" s="193" t="s">
        <v>5</v>
      </c>
      <c r="C5" s="677" t="s">
        <v>1</v>
      </c>
      <c r="D5" s="679" t="s">
        <v>414</v>
      </c>
      <c r="E5" s="679" t="s">
        <v>415</v>
      </c>
      <c r="F5" s="679" t="s">
        <v>416</v>
      </c>
      <c r="G5" s="192"/>
      <c r="H5" s="612" t="s">
        <v>255</v>
      </c>
      <c r="I5" s="613" t="s">
        <v>381</v>
      </c>
    </row>
    <row r="6" spans="1:9" ht="24.95" customHeight="1" x14ac:dyDescent="0.2">
      <c r="A6" s="676"/>
      <c r="B6" s="194" t="s">
        <v>3</v>
      </c>
      <c r="C6" s="678"/>
      <c r="D6" s="671"/>
      <c r="E6" s="671"/>
      <c r="F6" s="671"/>
      <c r="G6" s="192"/>
      <c r="H6" s="614"/>
      <c r="I6" s="298"/>
    </row>
    <row r="7" spans="1:9" ht="23.1" customHeight="1" x14ac:dyDescent="0.55000000000000004">
      <c r="A7" s="556" t="s">
        <v>194</v>
      </c>
      <c r="B7" s="557" t="s">
        <v>2</v>
      </c>
      <c r="C7" s="558">
        <f>SUM(D7:F7)</f>
        <v>22184300</v>
      </c>
      <c r="D7" s="558">
        <f>D9</f>
        <v>21057300</v>
      </c>
      <c r="E7" s="558">
        <f t="shared" ref="E7:F7" si="0">E9</f>
        <v>1027000</v>
      </c>
      <c r="F7" s="558">
        <f t="shared" si="0"/>
        <v>100000</v>
      </c>
      <c r="G7" s="192"/>
    </row>
    <row r="8" spans="1:9" ht="23.1" customHeight="1" x14ac:dyDescent="0.55000000000000004">
      <c r="A8" s="559"/>
      <c r="B8" s="557" t="s">
        <v>3</v>
      </c>
      <c r="C8" s="558">
        <f>D8+E8+F8</f>
        <v>0</v>
      </c>
      <c r="D8" s="560"/>
      <c r="E8" s="560"/>
      <c r="F8" s="560"/>
      <c r="G8" s="192"/>
    </row>
    <row r="9" spans="1:9" ht="23.1" customHeight="1" x14ac:dyDescent="0.55000000000000004">
      <c r="A9" s="556" t="s">
        <v>361</v>
      </c>
      <c r="B9" s="557" t="s">
        <v>2</v>
      </c>
      <c r="C9" s="558">
        <f>SUM(D9:F9)</f>
        <v>22184300</v>
      </c>
      <c r="D9" s="558">
        <f>D11+D34</f>
        <v>21057300</v>
      </c>
      <c r="E9" s="558">
        <f>E11+E34</f>
        <v>1027000</v>
      </c>
      <c r="F9" s="558">
        <f>F11+F34</f>
        <v>100000</v>
      </c>
      <c r="G9" s="192"/>
      <c r="H9" s="589">
        <f>F9-22055100-129200</f>
        <v>-22084300</v>
      </c>
    </row>
    <row r="10" spans="1:9" ht="23.1" customHeight="1" x14ac:dyDescent="0.55000000000000004">
      <c r="A10" s="559"/>
      <c r="B10" s="557" t="s">
        <v>3</v>
      </c>
      <c r="C10" s="558">
        <f>D10+E10+F10</f>
        <v>0</v>
      </c>
      <c r="D10" s="560"/>
      <c r="E10" s="560"/>
      <c r="F10" s="560"/>
      <c r="G10" s="192"/>
    </row>
    <row r="11" spans="1:9" ht="24" customHeight="1" x14ac:dyDescent="0.55000000000000004">
      <c r="A11" s="268" t="s">
        <v>338</v>
      </c>
      <c r="B11" s="269" t="s">
        <v>2</v>
      </c>
      <c r="C11" s="305">
        <f>SUM(D11:F11)</f>
        <v>22055100</v>
      </c>
      <c r="D11" s="306">
        <f>SUM(D14:D29)</f>
        <v>21057300</v>
      </c>
      <c r="E11" s="306">
        <f t="shared" ref="E11:F11" si="1">SUM(E14:E29)</f>
        <v>897800</v>
      </c>
      <c r="F11" s="306">
        <f t="shared" si="1"/>
        <v>100000</v>
      </c>
      <c r="G11" s="192"/>
    </row>
    <row r="12" spans="1:9" ht="24" customHeight="1" x14ac:dyDescent="0.55000000000000004">
      <c r="A12" s="268"/>
      <c r="B12" s="302" t="s">
        <v>3</v>
      </c>
      <c r="C12" s="503"/>
      <c r="D12" s="262"/>
      <c r="E12" s="262"/>
      <c r="F12" s="262"/>
      <c r="G12" s="192"/>
    </row>
    <row r="13" spans="1:9" ht="24" customHeight="1" x14ac:dyDescent="0.55000000000000004">
      <c r="A13" s="303" t="s">
        <v>235</v>
      </c>
      <c r="B13" s="302"/>
      <c r="C13" s="503"/>
      <c r="D13" s="262"/>
      <c r="E13" s="262"/>
      <c r="F13" s="262"/>
      <c r="G13" s="192"/>
    </row>
    <row r="14" spans="1:9" ht="24" customHeight="1" x14ac:dyDescent="0.55000000000000004">
      <c r="A14" s="268" t="s">
        <v>105</v>
      </c>
      <c r="B14" s="302"/>
      <c r="C14" s="503"/>
      <c r="D14" s="262"/>
      <c r="E14" s="262"/>
      <c r="F14" s="262"/>
      <c r="G14" s="192"/>
    </row>
    <row r="15" spans="1:9" ht="24" customHeight="1" x14ac:dyDescent="0.55000000000000004">
      <c r="A15" s="273" t="s">
        <v>300</v>
      </c>
      <c r="B15" s="307" t="s">
        <v>2</v>
      </c>
      <c r="C15" s="503">
        <f t="shared" ref="C15" si="2">D15+E15+F15</f>
        <v>812000</v>
      </c>
      <c r="D15" s="308">
        <v>82000</v>
      </c>
      <c r="E15" s="308">
        <v>630000</v>
      </c>
      <c r="F15" s="308">
        <f>100000</f>
        <v>100000</v>
      </c>
      <c r="G15" s="192"/>
      <c r="H15" s="589">
        <v>812000</v>
      </c>
      <c r="I15" s="615">
        <f t="shared" ref="I15:I41" si="3">H15-C15</f>
        <v>0</v>
      </c>
    </row>
    <row r="16" spans="1:9" ht="24" customHeight="1" x14ac:dyDescent="0.55000000000000004">
      <c r="A16" s="268" t="s">
        <v>100</v>
      </c>
      <c r="B16" s="302"/>
      <c r="C16" s="503"/>
      <c r="D16" s="262"/>
      <c r="E16" s="262"/>
      <c r="F16" s="262"/>
      <c r="G16" s="192"/>
      <c r="I16" s="615">
        <f t="shared" si="3"/>
        <v>0</v>
      </c>
    </row>
    <row r="17" spans="1:9" ht="24" customHeight="1" x14ac:dyDescent="0.55000000000000004">
      <c r="A17" s="270" t="s">
        <v>304</v>
      </c>
      <c r="B17" s="271" t="s">
        <v>2</v>
      </c>
      <c r="C17" s="503">
        <f t="shared" ref="C17" si="4">D17+E17+F17</f>
        <v>36200</v>
      </c>
      <c r="D17" s="272">
        <v>36200</v>
      </c>
      <c r="E17" s="486"/>
      <c r="F17" s="272"/>
      <c r="G17" s="192"/>
      <c r="H17" s="589">
        <v>36200</v>
      </c>
      <c r="I17" s="615">
        <f t="shared" si="3"/>
        <v>0</v>
      </c>
    </row>
    <row r="18" spans="1:9" ht="24" customHeight="1" x14ac:dyDescent="0.55000000000000004">
      <c r="A18" s="270" t="s">
        <v>307</v>
      </c>
      <c r="B18" s="271" t="s">
        <v>2</v>
      </c>
      <c r="C18" s="503">
        <f>D18+E18+F18</f>
        <v>22800</v>
      </c>
      <c r="D18" s="272">
        <v>22800</v>
      </c>
      <c r="E18" s="272"/>
      <c r="F18" s="272"/>
      <c r="G18" s="192"/>
      <c r="H18" s="589">
        <v>22800</v>
      </c>
      <c r="I18" s="615">
        <f>H18-C18</f>
        <v>0</v>
      </c>
    </row>
    <row r="19" spans="1:9" ht="24" customHeight="1" x14ac:dyDescent="0.55000000000000004">
      <c r="A19" s="273" t="s">
        <v>388</v>
      </c>
      <c r="B19" s="460" t="s">
        <v>2</v>
      </c>
      <c r="C19" s="491">
        <f>D19+E19+F19</f>
        <v>3229400</v>
      </c>
      <c r="D19" s="485">
        <v>3229400</v>
      </c>
      <c r="E19" s="485"/>
      <c r="F19" s="485"/>
      <c r="G19" s="192"/>
      <c r="H19" s="589">
        <v>3229400</v>
      </c>
      <c r="I19" s="615">
        <f>H19-C19</f>
        <v>0</v>
      </c>
    </row>
    <row r="20" spans="1:9" ht="24" customHeight="1" x14ac:dyDescent="0.55000000000000004">
      <c r="A20" s="273" t="s">
        <v>450</v>
      </c>
      <c r="B20" s="271" t="s">
        <v>2</v>
      </c>
      <c r="C20" s="503">
        <f>D20+E20+F20</f>
        <v>14580000</v>
      </c>
      <c r="D20" s="272">
        <v>14580000</v>
      </c>
      <c r="E20" s="272"/>
      <c r="F20" s="272"/>
      <c r="G20" s="192"/>
      <c r="H20" s="589">
        <v>14580000</v>
      </c>
      <c r="I20" s="615">
        <f>H20-C20</f>
        <v>0</v>
      </c>
    </row>
    <row r="21" spans="1:9" ht="24" customHeight="1" x14ac:dyDescent="0.55000000000000004">
      <c r="A21" s="270" t="s">
        <v>389</v>
      </c>
      <c r="B21" s="271" t="s">
        <v>2</v>
      </c>
      <c r="C21" s="503">
        <f t="shared" ref="C21" si="5">D21+E21+F21</f>
        <v>2916000</v>
      </c>
      <c r="D21" s="272">
        <v>2916000</v>
      </c>
      <c r="E21" s="486"/>
      <c r="F21" s="272"/>
      <c r="G21" s="192"/>
      <c r="H21" s="589">
        <v>2916000</v>
      </c>
      <c r="I21" s="615">
        <f t="shared" ref="I21" si="6">H21-C21</f>
        <v>0</v>
      </c>
    </row>
    <row r="22" spans="1:9" ht="24" customHeight="1" x14ac:dyDescent="0.55000000000000004">
      <c r="A22" s="561" t="s">
        <v>111</v>
      </c>
      <c r="B22" s="562"/>
      <c r="C22" s="563"/>
      <c r="D22" s="564"/>
      <c r="E22" s="564"/>
      <c r="F22" s="564"/>
      <c r="G22" s="192"/>
      <c r="I22" s="615">
        <f t="shared" si="3"/>
        <v>0</v>
      </c>
    </row>
    <row r="23" spans="1:9" ht="24" hidden="1" customHeight="1" x14ac:dyDescent="0.55000000000000004">
      <c r="A23" s="208" t="s">
        <v>308</v>
      </c>
      <c r="B23" s="241" t="s">
        <v>2</v>
      </c>
      <c r="C23" s="251">
        <f t="shared" ref="C23" si="7">SUM(D23:F23)</f>
        <v>0</v>
      </c>
      <c r="D23" s="244"/>
      <c r="E23" s="244"/>
      <c r="F23" s="244"/>
      <c r="G23" s="192"/>
      <c r="I23" s="615">
        <f t="shared" si="3"/>
        <v>0</v>
      </c>
    </row>
    <row r="24" spans="1:9" ht="24" customHeight="1" x14ac:dyDescent="0.55000000000000004">
      <c r="A24" s="208" t="s">
        <v>437</v>
      </c>
      <c r="B24" s="241" t="s">
        <v>2</v>
      </c>
      <c r="C24" s="247">
        <f>SUM(D24:F24)</f>
        <v>123000</v>
      </c>
      <c r="D24" s="255">
        <v>123000</v>
      </c>
      <c r="E24" s="255"/>
      <c r="F24" s="255"/>
      <c r="G24" s="192"/>
      <c r="H24" s="589">
        <v>123000</v>
      </c>
      <c r="I24" s="615">
        <f t="shared" si="3"/>
        <v>0</v>
      </c>
    </row>
    <row r="25" spans="1:9" ht="24" customHeight="1" x14ac:dyDescent="0.55000000000000004">
      <c r="A25" s="270" t="s">
        <v>309</v>
      </c>
      <c r="B25" s="271" t="s">
        <v>2</v>
      </c>
      <c r="C25" s="503">
        <f t="shared" ref="C25:C29" si="8">D25+E25+F25</f>
        <v>28300</v>
      </c>
      <c r="D25" s="272">
        <v>28300</v>
      </c>
      <c r="E25" s="272">
        <v>0</v>
      </c>
      <c r="F25" s="272"/>
      <c r="G25" s="192"/>
      <c r="H25" s="589">
        <v>28300</v>
      </c>
      <c r="I25" s="615">
        <f t="shared" si="3"/>
        <v>0</v>
      </c>
    </row>
    <row r="26" spans="1:9" ht="24" customHeight="1" x14ac:dyDescent="0.55000000000000004">
      <c r="A26" s="273" t="s">
        <v>310</v>
      </c>
      <c r="B26" s="271" t="s">
        <v>2</v>
      </c>
      <c r="C26" s="503">
        <f t="shared" si="8"/>
        <v>24000</v>
      </c>
      <c r="D26" s="272"/>
      <c r="E26" s="272">
        <v>24000</v>
      </c>
      <c r="F26" s="272"/>
      <c r="G26" s="192"/>
      <c r="H26" s="589">
        <v>24000</v>
      </c>
      <c r="I26" s="615">
        <f t="shared" si="3"/>
        <v>0</v>
      </c>
    </row>
    <row r="27" spans="1:9" ht="24" customHeight="1" x14ac:dyDescent="0.55000000000000004">
      <c r="A27" s="273" t="s">
        <v>103</v>
      </c>
      <c r="B27" s="271" t="s">
        <v>2</v>
      </c>
      <c r="C27" s="503">
        <f t="shared" ref="C27" si="9">D27+E27+F27</f>
        <v>39600</v>
      </c>
      <c r="D27" s="272">
        <v>39600</v>
      </c>
      <c r="E27" s="272"/>
      <c r="F27" s="272"/>
      <c r="G27" s="192"/>
      <c r="H27" s="589">
        <v>39600</v>
      </c>
      <c r="I27" s="615">
        <f t="shared" si="3"/>
        <v>0</v>
      </c>
    </row>
    <row r="28" spans="1:9" ht="24" customHeight="1" x14ac:dyDescent="0.55000000000000004">
      <c r="A28" s="273" t="s">
        <v>312</v>
      </c>
      <c r="B28" s="271" t="s">
        <v>2</v>
      </c>
      <c r="C28" s="503">
        <f>D28+E28+F28</f>
        <v>55300</v>
      </c>
      <c r="D28" s="272"/>
      <c r="E28" s="272">
        <v>55300</v>
      </c>
      <c r="F28" s="272"/>
      <c r="G28" s="192"/>
      <c r="H28" s="589">
        <v>55300</v>
      </c>
      <c r="I28" s="615">
        <f>H28-C28</f>
        <v>0</v>
      </c>
    </row>
    <row r="29" spans="1:9" ht="24" customHeight="1" x14ac:dyDescent="0.55000000000000004">
      <c r="A29" s="310" t="s">
        <v>390</v>
      </c>
      <c r="B29" s="458" t="s">
        <v>2</v>
      </c>
      <c r="C29" s="504">
        <f t="shared" si="8"/>
        <v>188500</v>
      </c>
      <c r="D29" s="459"/>
      <c r="E29" s="459">
        <v>188500</v>
      </c>
      <c r="F29" s="459"/>
      <c r="G29" s="192"/>
      <c r="H29" s="589">
        <v>188500</v>
      </c>
      <c r="I29" s="615">
        <f t="shared" si="3"/>
        <v>0</v>
      </c>
    </row>
    <row r="30" spans="1:9" ht="24" customHeight="1" x14ac:dyDescent="0.55000000000000004">
      <c r="A30" s="638"/>
      <c r="B30" s="639"/>
      <c r="C30" s="640"/>
      <c r="D30" s="641"/>
      <c r="E30" s="641"/>
      <c r="F30" s="641"/>
      <c r="G30" s="192"/>
      <c r="I30" s="615"/>
    </row>
    <row r="31" spans="1:9" ht="24" customHeight="1" x14ac:dyDescent="0.55000000000000004">
      <c r="A31" s="638"/>
      <c r="B31" s="639"/>
      <c r="C31" s="640"/>
      <c r="D31" s="641"/>
      <c r="E31" s="641"/>
      <c r="F31" s="641"/>
      <c r="G31" s="192"/>
      <c r="I31" s="615"/>
    </row>
    <row r="32" spans="1:9" ht="24" customHeight="1" x14ac:dyDescent="0.55000000000000004">
      <c r="A32" s="638"/>
      <c r="B32" s="639"/>
      <c r="C32" s="640"/>
      <c r="D32" s="641"/>
      <c r="E32" s="641"/>
      <c r="F32" s="641"/>
      <c r="G32" s="192"/>
      <c r="I32" s="615"/>
    </row>
    <row r="33" spans="1:9" ht="23.1" customHeight="1" x14ac:dyDescent="0.55000000000000004">
      <c r="A33" s="192"/>
      <c r="B33" s="192"/>
      <c r="C33" s="192"/>
      <c r="D33" s="192"/>
      <c r="E33" s="192"/>
      <c r="F33" s="192"/>
      <c r="G33" s="192"/>
      <c r="I33" s="615"/>
    </row>
    <row r="34" spans="1:9" ht="24" customHeight="1" x14ac:dyDescent="0.55000000000000004">
      <c r="A34" s="313" t="s">
        <v>171</v>
      </c>
      <c r="B34" s="571" t="s">
        <v>2</v>
      </c>
      <c r="C34" s="506">
        <f>SUM(D34:F34)</f>
        <v>129200</v>
      </c>
      <c r="D34" s="314">
        <f>D36</f>
        <v>0</v>
      </c>
      <c r="E34" s="314">
        <f t="shared" ref="E34:F34" si="10">E36</f>
        <v>129200</v>
      </c>
      <c r="F34" s="314">
        <f t="shared" si="10"/>
        <v>0</v>
      </c>
      <c r="G34" s="192"/>
      <c r="I34" s="615"/>
    </row>
    <row r="35" spans="1:9" ht="24" customHeight="1" x14ac:dyDescent="0.55000000000000004">
      <c r="A35" s="484"/>
      <c r="B35" s="570" t="s">
        <v>3</v>
      </c>
      <c r="C35" s="507"/>
      <c r="D35" s="308"/>
      <c r="E35" s="308"/>
      <c r="F35" s="308"/>
      <c r="G35" s="192"/>
      <c r="I35" s="615">
        <f t="shared" si="3"/>
        <v>0</v>
      </c>
    </row>
    <row r="36" spans="1:9" ht="24" customHeight="1" x14ac:dyDescent="0.55000000000000004">
      <c r="A36" s="270" t="s">
        <v>315</v>
      </c>
      <c r="B36" s="271" t="s">
        <v>2</v>
      </c>
      <c r="C36" s="503">
        <f>SUM(D36:F36)</f>
        <v>129200</v>
      </c>
      <c r="D36" s="272"/>
      <c r="E36" s="272">
        <v>129200</v>
      </c>
      <c r="F36" s="272"/>
      <c r="G36" s="192"/>
      <c r="H36" s="589">
        <v>129200</v>
      </c>
    </row>
    <row r="37" spans="1:9" ht="24" customHeight="1" x14ac:dyDescent="0.55000000000000004">
      <c r="A37" s="464"/>
      <c r="B37" s="458" t="s">
        <v>3</v>
      </c>
      <c r="C37" s="504"/>
      <c r="D37" s="459"/>
      <c r="E37" s="459"/>
      <c r="F37" s="459"/>
      <c r="G37" s="192"/>
    </row>
    <row r="38" spans="1:9" ht="24" customHeight="1" x14ac:dyDescent="0.55000000000000004">
      <c r="A38" s="195" t="s">
        <v>365</v>
      </c>
      <c r="B38" s="196" t="s">
        <v>2</v>
      </c>
      <c r="C38" s="599">
        <f>SUM(D38:F38)</f>
        <v>22184300</v>
      </c>
      <c r="D38" s="599">
        <f>D7</f>
        <v>21057300</v>
      </c>
      <c r="E38" s="599">
        <f>E7</f>
        <v>1027000</v>
      </c>
      <c r="F38" s="599">
        <f>F7</f>
        <v>100000</v>
      </c>
      <c r="G38" s="192"/>
      <c r="I38" s="615"/>
    </row>
    <row r="39" spans="1:9" ht="24" customHeight="1" x14ac:dyDescent="0.55000000000000004">
      <c r="A39" s="495"/>
      <c r="B39" s="196" t="s">
        <v>3</v>
      </c>
      <c r="C39" s="275"/>
      <c r="D39" s="275"/>
      <c r="E39" s="275"/>
      <c r="F39" s="275"/>
      <c r="G39" s="192"/>
      <c r="I39" s="615">
        <f t="shared" si="3"/>
        <v>0</v>
      </c>
    </row>
    <row r="40" spans="1:9" ht="24" customHeight="1" x14ac:dyDescent="0.55000000000000004">
      <c r="A40" s="195" t="s">
        <v>366</v>
      </c>
      <c r="B40" s="196" t="s">
        <v>2</v>
      </c>
      <c r="C40" s="197">
        <f>SUM(D40:F40)</f>
        <v>0</v>
      </c>
      <c r="D40" s="197">
        <v>0</v>
      </c>
      <c r="E40" s="197">
        <v>0</v>
      </c>
      <c r="F40" s="214">
        <v>0</v>
      </c>
      <c r="G40" s="192"/>
      <c r="I40" s="615">
        <f t="shared" si="3"/>
        <v>0</v>
      </c>
    </row>
    <row r="41" spans="1:9" ht="24" customHeight="1" x14ac:dyDescent="0.55000000000000004">
      <c r="A41" s="495"/>
      <c r="B41" s="196" t="s">
        <v>3</v>
      </c>
      <c r="C41" s="275"/>
      <c r="D41" s="275"/>
      <c r="E41" s="275"/>
      <c r="F41" s="275"/>
      <c r="G41" s="192"/>
      <c r="I41" s="615">
        <f t="shared" si="3"/>
        <v>0</v>
      </c>
    </row>
    <row r="42" spans="1:9" ht="24" customHeight="1" x14ac:dyDescent="0.55000000000000004">
      <c r="A42" s="673" t="s">
        <v>1</v>
      </c>
      <c r="B42" s="225" t="s">
        <v>2</v>
      </c>
      <c r="C42" s="267">
        <f>SUM(D42:F42)</f>
        <v>22184300</v>
      </c>
      <c r="D42" s="267">
        <f>D38+D40</f>
        <v>21057300</v>
      </c>
      <c r="E42" s="267">
        <f t="shared" ref="E42:F42" si="11">E38+E40</f>
        <v>1027000</v>
      </c>
      <c r="F42" s="267">
        <f t="shared" si="11"/>
        <v>100000</v>
      </c>
      <c r="G42" s="192"/>
      <c r="I42" s="615">
        <f t="shared" ref="I42:I100" si="12">H42-C42</f>
        <v>-22184300</v>
      </c>
    </row>
    <row r="43" spans="1:9" ht="24" customHeight="1" x14ac:dyDescent="0.55000000000000004">
      <c r="A43" s="674"/>
      <c r="B43" s="225" t="s">
        <v>3</v>
      </c>
      <c r="C43" s="267"/>
      <c r="D43" s="276"/>
      <c r="E43" s="276"/>
      <c r="F43" s="276"/>
      <c r="G43" s="192"/>
      <c r="I43" s="615">
        <f t="shared" si="12"/>
        <v>0</v>
      </c>
    </row>
    <row r="44" spans="1:9" ht="23.1" customHeight="1" x14ac:dyDescent="0.55000000000000004">
      <c r="A44" s="190" t="s">
        <v>432</v>
      </c>
      <c r="B44" s="192"/>
      <c r="C44" s="192"/>
      <c r="D44" s="192"/>
      <c r="E44" s="192"/>
      <c r="F44" s="192"/>
      <c r="G44" s="192"/>
      <c r="I44" s="615"/>
    </row>
    <row r="45" spans="1:9" ht="23.1" customHeight="1" x14ac:dyDescent="0.55000000000000004">
      <c r="A45" s="192"/>
      <c r="B45" s="192"/>
      <c r="C45" s="604">
        <f>C42-C7</f>
        <v>0</v>
      </c>
      <c r="D45" s="604">
        <f>D42-D7</f>
        <v>0</v>
      </c>
      <c r="E45" s="604">
        <f>E42-E7</f>
        <v>0</v>
      </c>
      <c r="F45" s="604">
        <f>F42-F7</f>
        <v>0</v>
      </c>
      <c r="G45" s="192"/>
      <c r="I45" s="615"/>
    </row>
    <row r="46" spans="1:9" ht="23.1" customHeight="1" x14ac:dyDescent="0.55000000000000004">
      <c r="A46" s="192"/>
      <c r="B46" s="192"/>
      <c r="C46" s="192"/>
      <c r="D46" s="192"/>
      <c r="E46" s="192"/>
      <c r="F46" s="192"/>
      <c r="G46" s="192"/>
      <c r="I46" s="615"/>
    </row>
    <row r="47" spans="1:9" ht="23.1" customHeight="1" x14ac:dyDescent="0.55000000000000004">
      <c r="A47" s="192"/>
      <c r="B47" s="192"/>
      <c r="C47" s="192"/>
      <c r="D47" s="192"/>
      <c r="E47" s="192"/>
      <c r="F47" s="192"/>
      <c r="G47" s="192"/>
      <c r="I47" s="615"/>
    </row>
    <row r="48" spans="1:9" ht="23.1" customHeight="1" x14ac:dyDescent="0.55000000000000004">
      <c r="A48" s="192"/>
      <c r="B48" s="192"/>
      <c r="C48" s="192"/>
      <c r="D48" s="192"/>
      <c r="E48" s="192"/>
      <c r="F48" s="192"/>
      <c r="G48" s="192"/>
      <c r="I48" s="615"/>
    </row>
    <row r="49" spans="1:9" ht="23.1" customHeight="1" x14ac:dyDescent="0.55000000000000004">
      <c r="A49" s="192"/>
      <c r="B49" s="192"/>
      <c r="C49" s="192"/>
      <c r="D49" s="192"/>
      <c r="E49" s="192"/>
      <c r="F49" s="192"/>
      <c r="G49" s="192"/>
      <c r="I49" s="615"/>
    </row>
    <row r="50" spans="1:9" ht="23.1" customHeight="1" x14ac:dyDescent="0.55000000000000004">
      <c r="A50" s="192"/>
      <c r="B50" s="192"/>
      <c r="C50" s="192"/>
      <c r="D50" s="192"/>
      <c r="E50" s="192"/>
      <c r="F50" s="192"/>
      <c r="G50" s="192"/>
      <c r="I50" s="615"/>
    </row>
    <row r="51" spans="1:9" ht="23.1" customHeight="1" x14ac:dyDescent="0.55000000000000004">
      <c r="A51" s="192"/>
      <c r="B51" s="192"/>
      <c r="C51" s="192"/>
      <c r="D51" s="192"/>
      <c r="E51" s="192"/>
      <c r="F51" s="192"/>
      <c r="G51" s="192"/>
      <c r="I51" s="615"/>
    </row>
    <row r="52" spans="1:9" ht="23.1" customHeight="1" x14ac:dyDescent="0.55000000000000004">
      <c r="A52" s="192"/>
      <c r="B52" s="192"/>
      <c r="C52" s="192"/>
      <c r="D52" s="192"/>
      <c r="E52" s="192"/>
      <c r="F52" s="192"/>
      <c r="G52" s="192"/>
      <c r="I52" s="615">
        <f t="shared" si="12"/>
        <v>0</v>
      </c>
    </row>
    <row r="53" spans="1:9" ht="23.1" customHeight="1" x14ac:dyDescent="0.55000000000000004">
      <c r="A53" s="192"/>
      <c r="B53" s="192"/>
      <c r="C53" s="192"/>
      <c r="D53" s="192"/>
      <c r="E53" s="192"/>
      <c r="F53" s="192"/>
      <c r="G53" s="192"/>
      <c r="I53" s="615">
        <f t="shared" si="12"/>
        <v>0</v>
      </c>
    </row>
    <row r="54" spans="1:9" ht="23.1" customHeight="1" x14ac:dyDescent="0.55000000000000004">
      <c r="A54" s="192"/>
      <c r="B54" s="192"/>
      <c r="C54" s="192"/>
      <c r="D54" s="192"/>
      <c r="E54" s="192"/>
      <c r="F54" s="192"/>
      <c r="G54" s="192"/>
      <c r="I54" s="615"/>
    </row>
    <row r="55" spans="1:9" ht="23.1" customHeight="1" x14ac:dyDescent="0.55000000000000004">
      <c r="A55" s="192"/>
      <c r="B55" s="192"/>
      <c r="C55" s="192"/>
      <c r="D55" s="192"/>
      <c r="E55" s="192"/>
      <c r="F55" s="192"/>
      <c r="G55" s="192"/>
      <c r="I55" s="615"/>
    </row>
    <row r="56" spans="1:9" ht="23.1" customHeight="1" x14ac:dyDescent="0.55000000000000004">
      <c r="A56" s="192"/>
      <c r="B56" s="192"/>
      <c r="C56" s="192"/>
      <c r="D56" s="192"/>
      <c r="E56" s="192"/>
      <c r="F56" s="192"/>
      <c r="G56" s="192"/>
      <c r="I56" s="615"/>
    </row>
    <row r="57" spans="1:9" ht="23.1" customHeight="1" x14ac:dyDescent="0.55000000000000004">
      <c r="A57" s="192"/>
      <c r="B57" s="192"/>
      <c r="C57" s="192"/>
      <c r="D57" s="192"/>
      <c r="E57" s="192"/>
      <c r="F57" s="192"/>
      <c r="G57" s="192"/>
      <c r="I57" s="615"/>
    </row>
    <row r="58" spans="1:9" ht="23.1" customHeight="1" x14ac:dyDescent="0.55000000000000004">
      <c r="A58" s="192"/>
      <c r="B58" s="192"/>
      <c r="C58" s="192"/>
      <c r="D58" s="192"/>
      <c r="E58" s="192"/>
      <c r="F58" s="192"/>
      <c r="G58" s="192"/>
      <c r="I58" s="615"/>
    </row>
    <row r="59" spans="1:9" ht="23.1" customHeight="1" x14ac:dyDescent="0.55000000000000004">
      <c r="A59" s="192"/>
      <c r="B59" s="192"/>
      <c r="C59" s="192"/>
      <c r="D59" s="192"/>
      <c r="E59" s="192"/>
      <c r="F59" s="192"/>
      <c r="G59" s="192"/>
      <c r="I59" s="615"/>
    </row>
    <row r="60" spans="1:9" ht="23.1" customHeight="1" x14ac:dyDescent="0.55000000000000004">
      <c r="A60" s="192"/>
      <c r="B60" s="192"/>
      <c r="C60" s="192"/>
      <c r="D60" s="192"/>
      <c r="E60" s="192"/>
      <c r="F60" s="192"/>
      <c r="G60" s="192"/>
      <c r="I60" s="615">
        <f t="shared" si="12"/>
        <v>0</v>
      </c>
    </row>
    <row r="61" spans="1:9" ht="24" customHeight="1" x14ac:dyDescent="0.55000000000000004">
      <c r="A61" s="548" t="s">
        <v>194</v>
      </c>
      <c r="B61" s="549" t="s">
        <v>2</v>
      </c>
      <c r="C61" s="541">
        <f>SUM(D61:F61)</f>
        <v>95510500</v>
      </c>
      <c r="D61" s="541">
        <f t="shared" ref="D61:F61" si="13">D63</f>
        <v>38406900</v>
      </c>
      <c r="E61" s="541">
        <f t="shared" si="13"/>
        <v>42638600</v>
      </c>
      <c r="F61" s="201">
        <f t="shared" si="13"/>
        <v>14465000</v>
      </c>
      <c r="G61" s="192"/>
      <c r="I61" s="615">
        <f t="shared" si="12"/>
        <v>-95510500</v>
      </c>
    </row>
    <row r="62" spans="1:9" ht="24" customHeight="1" x14ac:dyDescent="0.55000000000000004">
      <c r="A62" s="550"/>
      <c r="B62" s="551" t="s">
        <v>3</v>
      </c>
      <c r="C62" s="538"/>
      <c r="D62" s="552"/>
      <c r="E62" s="552"/>
      <c r="F62" s="552"/>
      <c r="G62" s="192"/>
      <c r="I62" s="615">
        <f t="shared" si="12"/>
        <v>0</v>
      </c>
    </row>
    <row r="63" spans="1:9" ht="24" customHeight="1" x14ac:dyDescent="0.55000000000000004">
      <c r="A63" s="636" t="s">
        <v>362</v>
      </c>
      <c r="B63" s="557" t="s">
        <v>2</v>
      </c>
      <c r="C63" s="553">
        <f>SUM(D63:F63)</f>
        <v>95510500</v>
      </c>
      <c r="D63" s="553">
        <f>D65+D87+D91</f>
        <v>38406900</v>
      </c>
      <c r="E63" s="553">
        <f>E65+E87+E91</f>
        <v>42638600</v>
      </c>
      <c r="F63" s="637">
        <f>F65+F87+F91</f>
        <v>14465000</v>
      </c>
      <c r="G63" s="192"/>
      <c r="H63" s="589">
        <f>F63-40659500-48810000-6041000</f>
        <v>-81045500</v>
      </c>
      <c r="I63" s="615">
        <f t="shared" si="12"/>
        <v>-176556000</v>
      </c>
    </row>
    <row r="64" spans="1:9" ht="24" customHeight="1" x14ac:dyDescent="0.55000000000000004">
      <c r="A64" s="554"/>
      <c r="B64" s="557" t="s">
        <v>3</v>
      </c>
      <c r="C64" s="553">
        <f>D64+E64+F64</f>
        <v>0</v>
      </c>
      <c r="D64" s="555"/>
      <c r="E64" s="555"/>
      <c r="F64" s="555"/>
      <c r="G64" s="192"/>
      <c r="I64" s="615">
        <f t="shared" si="12"/>
        <v>0</v>
      </c>
    </row>
    <row r="65" spans="1:9" ht="24" customHeight="1" x14ac:dyDescent="0.55000000000000004">
      <c r="A65" s="268" t="s">
        <v>338</v>
      </c>
      <c r="B65" s="569" t="s">
        <v>2</v>
      </c>
      <c r="C65" s="305">
        <f>SUM(D65:F65)</f>
        <v>40659500</v>
      </c>
      <c r="D65" s="306">
        <f>SUM(D69:D83)</f>
        <v>8099300</v>
      </c>
      <c r="E65" s="306">
        <f t="shared" ref="E65:F65" si="14">SUM(E69:E83)</f>
        <v>24484200</v>
      </c>
      <c r="F65" s="306">
        <f t="shared" si="14"/>
        <v>8076000</v>
      </c>
      <c r="G65" s="192"/>
      <c r="I65" s="615">
        <f t="shared" si="12"/>
        <v>-40659500</v>
      </c>
    </row>
    <row r="66" spans="1:9" ht="24" customHeight="1" x14ac:dyDescent="0.55000000000000004">
      <c r="A66" s="268"/>
      <c r="B66" s="570" t="s">
        <v>3</v>
      </c>
      <c r="C66" s="503"/>
      <c r="D66" s="262"/>
      <c r="E66" s="262"/>
      <c r="F66" s="262"/>
      <c r="G66" s="192"/>
      <c r="I66" s="615">
        <f t="shared" si="12"/>
        <v>0</v>
      </c>
    </row>
    <row r="67" spans="1:9" ht="24" customHeight="1" x14ac:dyDescent="0.55000000000000004">
      <c r="A67" s="303" t="s">
        <v>235</v>
      </c>
      <c r="B67" s="302"/>
      <c r="C67" s="503"/>
      <c r="D67" s="262"/>
      <c r="E67" s="262"/>
      <c r="F67" s="262"/>
      <c r="G67" s="192"/>
      <c r="I67" s="615">
        <f t="shared" si="12"/>
        <v>0</v>
      </c>
    </row>
    <row r="68" spans="1:9" ht="24" customHeight="1" x14ac:dyDescent="0.55000000000000004">
      <c r="A68" s="268" t="s">
        <v>105</v>
      </c>
      <c r="B68" s="302"/>
      <c r="C68" s="503"/>
      <c r="D68" s="262"/>
      <c r="E68" s="262"/>
      <c r="F68" s="262"/>
      <c r="G68" s="192"/>
    </row>
    <row r="69" spans="1:9" ht="24" customHeight="1" x14ac:dyDescent="0.55000000000000004">
      <c r="A69" s="273" t="s">
        <v>301</v>
      </c>
      <c r="B69" s="307" t="s">
        <v>2</v>
      </c>
      <c r="C69" s="503">
        <f t="shared" ref="C69" si="15">D69+E69+F69</f>
        <v>3648000</v>
      </c>
      <c r="D69" s="308">
        <v>1216000</v>
      </c>
      <c r="E69" s="308">
        <v>1216000</v>
      </c>
      <c r="F69" s="308">
        <v>1216000</v>
      </c>
      <c r="G69" s="192"/>
      <c r="H69" s="589">
        <v>3648000</v>
      </c>
      <c r="I69" s="615">
        <f t="shared" ref="I69" si="16">H69-C69</f>
        <v>0</v>
      </c>
    </row>
    <row r="70" spans="1:9" ht="24" customHeight="1" x14ac:dyDescent="0.55000000000000004">
      <c r="A70" s="274" t="s">
        <v>302</v>
      </c>
      <c r="B70" s="307" t="s">
        <v>2</v>
      </c>
      <c r="C70" s="503">
        <f>D70+E70+F70</f>
        <v>2560000</v>
      </c>
      <c r="D70" s="308">
        <v>860000</v>
      </c>
      <c r="E70" s="308">
        <v>860000</v>
      </c>
      <c r="F70" s="308">
        <v>840000</v>
      </c>
      <c r="G70" s="192"/>
      <c r="H70" s="589">
        <v>2560000</v>
      </c>
      <c r="I70" s="615">
        <f>H70-C70</f>
        <v>0</v>
      </c>
    </row>
    <row r="71" spans="1:9" ht="24" customHeight="1" x14ac:dyDescent="0.55000000000000004">
      <c r="A71" s="274" t="s">
        <v>391</v>
      </c>
      <c r="B71" s="307" t="s">
        <v>2</v>
      </c>
      <c r="C71" s="503">
        <f>D71+E71+F71</f>
        <v>17844000</v>
      </c>
      <c r="D71" s="308">
        <v>5912000</v>
      </c>
      <c r="E71" s="308">
        <v>5912000</v>
      </c>
      <c r="F71" s="308">
        <f>5912000+108000</f>
        <v>6020000</v>
      </c>
      <c r="G71" s="192"/>
      <c r="H71" s="589">
        <v>17844000</v>
      </c>
      <c r="I71" s="615">
        <f>H71-C71</f>
        <v>0</v>
      </c>
    </row>
    <row r="72" spans="1:9" ht="24" customHeight="1" x14ac:dyDescent="0.55000000000000004">
      <c r="A72" s="268" t="s">
        <v>100</v>
      </c>
      <c r="B72" s="302"/>
      <c r="C72" s="503"/>
      <c r="D72" s="262"/>
      <c r="E72" s="262"/>
      <c r="F72" s="262"/>
      <c r="G72" s="192"/>
      <c r="I72" s="615">
        <f t="shared" ref="I72:I73" si="17">H72-C72</f>
        <v>0</v>
      </c>
    </row>
    <row r="73" spans="1:9" ht="24" customHeight="1" x14ac:dyDescent="0.55000000000000004">
      <c r="A73" s="273" t="s">
        <v>303</v>
      </c>
      <c r="B73" s="271" t="s">
        <v>2</v>
      </c>
      <c r="C73" s="503">
        <f t="shared" ref="C73" si="18">D73+E73+F73</f>
        <v>360000</v>
      </c>
      <c r="D73" s="272"/>
      <c r="E73" s="486">
        <v>360000</v>
      </c>
      <c r="F73" s="272"/>
      <c r="G73" s="192"/>
      <c r="H73" s="589">
        <v>360000</v>
      </c>
      <c r="I73" s="615">
        <f t="shared" si="17"/>
        <v>0</v>
      </c>
    </row>
    <row r="74" spans="1:9" ht="24" customHeight="1" x14ac:dyDescent="0.55000000000000004">
      <c r="A74" s="270" t="s">
        <v>305</v>
      </c>
      <c r="B74" s="271" t="s">
        <v>2</v>
      </c>
      <c r="C74" s="503">
        <f>D74+E74+F74</f>
        <v>9000000</v>
      </c>
      <c r="D74" s="272"/>
      <c r="E74" s="486">
        <v>9000000</v>
      </c>
      <c r="F74" s="272"/>
      <c r="G74" s="192"/>
      <c r="H74" s="589">
        <v>9000000</v>
      </c>
      <c r="I74" s="615">
        <f>H74-C74</f>
        <v>0</v>
      </c>
    </row>
    <row r="75" spans="1:9" ht="24" customHeight="1" x14ac:dyDescent="0.55000000000000004">
      <c r="A75" s="273" t="s">
        <v>306</v>
      </c>
      <c r="B75" s="508" t="s">
        <v>2</v>
      </c>
      <c r="C75" s="509">
        <f>D75+E75+F75</f>
        <v>40000</v>
      </c>
      <c r="D75" s="510"/>
      <c r="E75" s="511">
        <v>40000</v>
      </c>
      <c r="F75" s="510"/>
      <c r="G75" s="192"/>
      <c r="H75" s="589">
        <v>40000</v>
      </c>
      <c r="I75" s="615">
        <f>H75-C75</f>
        <v>0</v>
      </c>
    </row>
    <row r="76" spans="1:9" ht="24" customHeight="1" x14ac:dyDescent="0.55000000000000004">
      <c r="A76" s="270" t="s">
        <v>422</v>
      </c>
      <c r="B76" s="271" t="s">
        <v>2</v>
      </c>
      <c r="C76" s="503">
        <f>D76+E76+F76</f>
        <v>154000</v>
      </c>
      <c r="D76" s="272"/>
      <c r="E76" s="272">
        <v>154000</v>
      </c>
      <c r="F76" s="272"/>
      <c r="G76" s="192"/>
      <c r="H76" s="589">
        <v>154000</v>
      </c>
      <c r="I76" s="615">
        <f>H76-C76</f>
        <v>0</v>
      </c>
    </row>
    <row r="77" spans="1:9" ht="24" customHeight="1" x14ac:dyDescent="0.55000000000000004">
      <c r="A77" s="309" t="s">
        <v>102</v>
      </c>
      <c r="B77" s="271"/>
      <c r="C77" s="503"/>
      <c r="D77" s="262"/>
      <c r="E77" s="262"/>
      <c r="F77" s="262"/>
      <c r="G77" s="192"/>
      <c r="I77" s="615">
        <f t="shared" si="12"/>
        <v>0</v>
      </c>
    </row>
    <row r="78" spans="1:9" ht="24" customHeight="1" x14ac:dyDescent="0.55000000000000004">
      <c r="A78" s="273" t="s">
        <v>430</v>
      </c>
      <c r="B78" s="460" t="s">
        <v>2</v>
      </c>
      <c r="C78" s="491">
        <f t="shared" ref="C78" si="19">D78+E78+F78</f>
        <v>36000</v>
      </c>
      <c r="D78" s="485">
        <v>36000</v>
      </c>
      <c r="E78" s="485">
        <v>0</v>
      </c>
      <c r="F78" s="485"/>
      <c r="G78" s="192"/>
      <c r="H78" s="589">
        <v>36000</v>
      </c>
      <c r="I78" s="615">
        <f t="shared" si="12"/>
        <v>0</v>
      </c>
    </row>
    <row r="79" spans="1:9" ht="24" customHeight="1" x14ac:dyDescent="0.55000000000000004">
      <c r="A79" s="273" t="s">
        <v>445</v>
      </c>
      <c r="B79" s="271" t="s">
        <v>2</v>
      </c>
      <c r="C79" s="503">
        <f>D79+E79+F79</f>
        <v>60000</v>
      </c>
      <c r="D79" s="272">
        <v>60000</v>
      </c>
      <c r="E79" s="272">
        <v>0</v>
      </c>
      <c r="F79" s="272"/>
      <c r="G79" s="192"/>
      <c r="H79" s="589">
        <v>60000</v>
      </c>
      <c r="I79" s="615">
        <f>H79-C79</f>
        <v>0</v>
      </c>
    </row>
    <row r="80" spans="1:9" ht="24" customHeight="1" x14ac:dyDescent="0.55000000000000004">
      <c r="A80" s="273" t="s">
        <v>311</v>
      </c>
      <c r="B80" s="271" t="s">
        <v>2</v>
      </c>
      <c r="C80" s="503">
        <f>D80+E80+F80</f>
        <v>721800</v>
      </c>
      <c r="D80" s="272"/>
      <c r="E80" s="272">
        <v>721800</v>
      </c>
      <c r="F80" s="272"/>
      <c r="G80" s="192"/>
      <c r="H80" s="589">
        <v>721800</v>
      </c>
      <c r="I80" s="615">
        <f>H80-C80</f>
        <v>0</v>
      </c>
    </row>
    <row r="81" spans="1:10" ht="24" customHeight="1" x14ac:dyDescent="0.55000000000000004">
      <c r="A81" s="273" t="s">
        <v>446</v>
      </c>
      <c r="B81" s="460" t="s">
        <v>2</v>
      </c>
      <c r="C81" s="491">
        <f t="shared" ref="C81" si="20">D81+E81+F81</f>
        <v>15300</v>
      </c>
      <c r="D81" s="485">
        <v>15300</v>
      </c>
      <c r="E81" s="485"/>
      <c r="F81" s="485"/>
      <c r="G81" s="192"/>
      <c r="H81" s="589">
        <v>15300</v>
      </c>
      <c r="I81" s="615">
        <f t="shared" ref="I81" si="21">H81-C81</f>
        <v>0</v>
      </c>
    </row>
    <row r="82" spans="1:10" ht="24" customHeight="1" x14ac:dyDescent="0.55000000000000004">
      <c r="A82" s="273" t="s">
        <v>313</v>
      </c>
      <c r="B82" s="271" t="s">
        <v>2</v>
      </c>
      <c r="C82" s="503">
        <f>D82+E82+F82</f>
        <v>54000</v>
      </c>
      <c r="D82" s="272"/>
      <c r="E82" s="272">
        <v>54000</v>
      </c>
      <c r="F82" s="272"/>
      <c r="G82" s="192"/>
      <c r="H82" s="589">
        <v>54000</v>
      </c>
      <c r="I82" s="615">
        <f>H82-C82</f>
        <v>0</v>
      </c>
    </row>
    <row r="83" spans="1:10" ht="24" customHeight="1" x14ac:dyDescent="0.55000000000000004">
      <c r="A83" s="273" t="s">
        <v>431</v>
      </c>
      <c r="B83" s="271" t="s">
        <v>2</v>
      </c>
      <c r="C83" s="503">
        <f>D83+E83+F83</f>
        <v>6166400</v>
      </c>
      <c r="D83" s="272"/>
      <c r="E83" s="272">
        <v>6166400</v>
      </c>
      <c r="F83" s="272"/>
      <c r="G83" s="192"/>
      <c r="H83" s="589">
        <v>6166400</v>
      </c>
      <c r="I83" s="615">
        <f>H83-C83</f>
        <v>0</v>
      </c>
    </row>
    <row r="84" spans="1:10" ht="24" customHeight="1" x14ac:dyDescent="0.55000000000000004">
      <c r="A84" s="464"/>
      <c r="B84" s="592"/>
      <c r="C84" s="505"/>
      <c r="D84" s="591"/>
      <c r="E84" s="591"/>
      <c r="F84" s="660"/>
      <c r="G84" s="192"/>
      <c r="I84" s="615">
        <f t="shared" ref="I84" si="22">H84-C84</f>
        <v>0</v>
      </c>
    </row>
    <row r="85" spans="1:10" ht="24" customHeight="1" x14ac:dyDescent="0.55000000000000004">
      <c r="A85" s="589"/>
      <c r="B85" s="589"/>
      <c r="C85" s="589"/>
      <c r="D85" s="589"/>
      <c r="E85" s="589"/>
      <c r="F85" s="589"/>
      <c r="G85" s="589"/>
      <c r="I85" s="615"/>
    </row>
    <row r="86" spans="1:10" ht="24" customHeight="1" x14ac:dyDescent="0.55000000000000004">
      <c r="A86" s="589"/>
      <c r="B86" s="589"/>
      <c r="C86" s="589"/>
      <c r="D86" s="589"/>
      <c r="E86" s="589"/>
      <c r="F86" s="589"/>
      <c r="G86" s="589"/>
      <c r="I86" s="615"/>
    </row>
    <row r="87" spans="1:10" ht="21.95" customHeight="1" x14ac:dyDescent="0.55000000000000004">
      <c r="A87" s="313" t="s">
        <v>339</v>
      </c>
      <c r="B87" s="656" t="s">
        <v>2</v>
      </c>
      <c r="C87" s="657">
        <f>SUM(D87:F87)</f>
        <v>48810000</v>
      </c>
      <c r="D87" s="658">
        <f>SUM(D89:D90)</f>
        <v>29421000</v>
      </c>
      <c r="E87" s="658">
        <f>SUM(E89:E90)</f>
        <v>13000000</v>
      </c>
      <c r="F87" s="658">
        <f>SUM(F89:F90)</f>
        <v>6389000</v>
      </c>
      <c r="G87" s="192"/>
      <c r="I87" s="615"/>
    </row>
    <row r="88" spans="1:10" ht="21.95" customHeight="1" x14ac:dyDescent="0.55000000000000004">
      <c r="A88" s="268"/>
      <c r="B88" s="302" t="s">
        <v>3</v>
      </c>
      <c r="C88" s="503"/>
      <c r="D88" s="311"/>
      <c r="E88" s="311"/>
      <c r="F88" s="311"/>
      <c r="G88" s="192"/>
      <c r="I88" s="615">
        <f t="shared" si="12"/>
        <v>0</v>
      </c>
    </row>
    <row r="89" spans="1:10" ht="21.95" customHeight="1" x14ac:dyDescent="0.55000000000000004">
      <c r="A89" s="273" t="s">
        <v>314</v>
      </c>
      <c r="B89" s="271" t="s">
        <v>2</v>
      </c>
      <c r="C89" s="503">
        <f t="shared" ref="C89" si="23">SUM(D89:F89)</f>
        <v>8421000</v>
      </c>
      <c r="D89" s="308">
        <v>8421000</v>
      </c>
      <c r="E89" s="308">
        <v>0</v>
      </c>
      <c r="F89" s="308">
        <v>0</v>
      </c>
      <c r="G89" s="192"/>
      <c r="H89" s="589">
        <v>8421000</v>
      </c>
      <c r="I89" s="615">
        <f t="shared" si="12"/>
        <v>0</v>
      </c>
      <c r="J89" s="121"/>
    </row>
    <row r="90" spans="1:10" ht="21.95" customHeight="1" x14ac:dyDescent="0.55000000000000004">
      <c r="A90" s="310" t="s">
        <v>447</v>
      </c>
      <c r="B90" s="304" t="s">
        <v>2</v>
      </c>
      <c r="C90" s="505">
        <f t="shared" ref="C90" si="24">D90+E90+F90</f>
        <v>40389000</v>
      </c>
      <c r="D90" s="312">
        <v>21000000</v>
      </c>
      <c r="E90" s="312">
        <v>13000000</v>
      </c>
      <c r="F90" s="312">
        <f>6461000-72000</f>
        <v>6389000</v>
      </c>
      <c r="G90" s="192"/>
      <c r="H90" s="589">
        <v>40389000</v>
      </c>
      <c r="I90" s="615">
        <f t="shared" si="12"/>
        <v>0</v>
      </c>
      <c r="J90" s="121"/>
    </row>
    <row r="91" spans="1:10" ht="24" customHeight="1" x14ac:dyDescent="0.55000000000000004">
      <c r="A91" s="313" t="s">
        <v>42</v>
      </c>
      <c r="B91" s="571" t="s">
        <v>2</v>
      </c>
      <c r="C91" s="506">
        <f>SUM(D91:F91)</f>
        <v>6041000</v>
      </c>
      <c r="D91" s="314">
        <f>SUM(D93:D114)</f>
        <v>886600</v>
      </c>
      <c r="E91" s="314">
        <f t="shared" ref="E91:F91" si="25">SUM(E93:E114)</f>
        <v>5154400</v>
      </c>
      <c r="F91" s="314">
        <f t="shared" si="25"/>
        <v>0</v>
      </c>
      <c r="G91" s="192"/>
      <c r="I91" s="615"/>
    </row>
    <row r="92" spans="1:10" ht="24" customHeight="1" x14ac:dyDescent="0.55000000000000004">
      <c r="A92" s="484"/>
      <c r="B92" s="570" t="s">
        <v>3</v>
      </c>
      <c r="C92" s="507"/>
      <c r="D92" s="308"/>
      <c r="E92" s="308"/>
      <c r="F92" s="308"/>
      <c r="G92" s="192"/>
      <c r="I92" s="615">
        <f t="shared" si="12"/>
        <v>0</v>
      </c>
    </row>
    <row r="93" spans="1:10" ht="24" customHeight="1" x14ac:dyDescent="0.55000000000000004">
      <c r="A93" s="323" t="s">
        <v>448</v>
      </c>
      <c r="B93" s="271" t="s">
        <v>2</v>
      </c>
      <c r="C93" s="503">
        <f t="shared" ref="C93:C97" si="26">SUM(D93:F93)</f>
        <v>169500</v>
      </c>
      <c r="D93" s="272">
        <v>169500</v>
      </c>
      <c r="E93" s="272"/>
      <c r="F93" s="272"/>
      <c r="G93" s="192"/>
      <c r="H93" s="589">
        <v>169500</v>
      </c>
      <c r="I93" s="615">
        <f t="shared" si="12"/>
        <v>0</v>
      </c>
    </row>
    <row r="94" spans="1:10" ht="24" customHeight="1" x14ac:dyDescent="0.55000000000000004">
      <c r="A94" s="323"/>
      <c r="B94" s="271"/>
      <c r="C94" s="503"/>
      <c r="D94" s="272"/>
      <c r="E94" s="272"/>
      <c r="F94" s="272"/>
      <c r="G94" s="192"/>
      <c r="I94" s="615"/>
    </row>
    <row r="95" spans="1:10" ht="24" customHeight="1" x14ac:dyDescent="0.55000000000000004">
      <c r="A95" s="274" t="s">
        <v>316</v>
      </c>
      <c r="B95" s="271" t="s">
        <v>2</v>
      </c>
      <c r="C95" s="503">
        <f>SUM(D95:F95)</f>
        <v>57400</v>
      </c>
      <c r="D95" s="272"/>
      <c r="E95" s="272">
        <v>57400</v>
      </c>
      <c r="F95" s="272"/>
      <c r="G95" s="192"/>
      <c r="H95" s="589">
        <v>57400</v>
      </c>
      <c r="I95" s="615">
        <f>H95-C95</f>
        <v>0</v>
      </c>
    </row>
    <row r="96" spans="1:10" ht="24" customHeight="1" x14ac:dyDescent="0.55000000000000004">
      <c r="A96" s="274"/>
      <c r="B96" s="271"/>
      <c r="C96" s="503"/>
      <c r="D96" s="272"/>
      <c r="E96" s="272"/>
      <c r="F96" s="272"/>
      <c r="G96" s="192"/>
      <c r="I96" s="615">
        <f>H96-C96</f>
        <v>0</v>
      </c>
    </row>
    <row r="97" spans="1:9" ht="24" customHeight="1" x14ac:dyDescent="0.55000000000000004">
      <c r="A97" s="273" t="s">
        <v>449</v>
      </c>
      <c r="B97" s="271" t="s">
        <v>2</v>
      </c>
      <c r="C97" s="503">
        <f t="shared" si="26"/>
        <v>140700</v>
      </c>
      <c r="D97" s="272">
        <v>140700</v>
      </c>
      <c r="E97" s="272"/>
      <c r="F97" s="272"/>
      <c r="G97" s="192"/>
      <c r="H97" s="589">
        <v>140700</v>
      </c>
      <c r="I97" s="615">
        <f t="shared" si="12"/>
        <v>0</v>
      </c>
    </row>
    <row r="98" spans="1:9" ht="24" customHeight="1" x14ac:dyDescent="0.55000000000000004">
      <c r="A98" s="273" t="s">
        <v>317</v>
      </c>
      <c r="B98" s="271"/>
      <c r="C98" s="503"/>
      <c r="D98" s="272"/>
      <c r="E98" s="272"/>
      <c r="F98" s="272"/>
      <c r="G98" s="192"/>
      <c r="I98" s="615">
        <f t="shared" si="12"/>
        <v>0</v>
      </c>
    </row>
    <row r="99" spans="1:9" ht="24" customHeight="1" x14ac:dyDescent="0.55000000000000004">
      <c r="A99" s="273" t="s">
        <v>318</v>
      </c>
      <c r="B99" s="271" t="s">
        <v>2</v>
      </c>
      <c r="C99" s="503">
        <f t="shared" ref="C99" si="27">SUM(D99:F99)</f>
        <v>42600</v>
      </c>
      <c r="D99" s="272">
        <v>42600</v>
      </c>
      <c r="E99" s="272"/>
      <c r="F99" s="272"/>
      <c r="G99" s="192"/>
      <c r="H99" s="589">
        <v>42600</v>
      </c>
      <c r="I99" s="615">
        <f t="shared" si="12"/>
        <v>0</v>
      </c>
    </row>
    <row r="100" spans="1:9" ht="24" customHeight="1" x14ac:dyDescent="0.55000000000000004">
      <c r="A100" s="273" t="s">
        <v>317</v>
      </c>
      <c r="B100" s="271"/>
      <c r="C100" s="503"/>
      <c r="D100" s="272"/>
      <c r="E100" s="272"/>
      <c r="F100" s="272"/>
      <c r="G100" s="192"/>
      <c r="I100" s="615">
        <f t="shared" si="12"/>
        <v>0</v>
      </c>
    </row>
    <row r="101" spans="1:9" ht="24" customHeight="1" x14ac:dyDescent="0.55000000000000004">
      <c r="A101" s="273" t="s">
        <v>319</v>
      </c>
      <c r="B101" s="508" t="s">
        <v>2</v>
      </c>
      <c r="C101" s="503">
        <f>SUM(D101:F101)</f>
        <v>233800</v>
      </c>
      <c r="D101" s="272">
        <v>233800</v>
      </c>
      <c r="E101" s="272"/>
      <c r="F101" s="272"/>
      <c r="G101" s="192"/>
      <c r="H101" s="589">
        <v>233800</v>
      </c>
      <c r="I101" s="615">
        <f t="shared" ref="I101:I110" si="28">H101-C101</f>
        <v>0</v>
      </c>
    </row>
    <row r="102" spans="1:9" ht="24" customHeight="1" x14ac:dyDescent="0.55000000000000004">
      <c r="A102" s="273"/>
      <c r="B102" s="271"/>
      <c r="C102" s="491"/>
      <c r="D102" s="485"/>
      <c r="E102" s="485"/>
      <c r="F102" s="485"/>
      <c r="G102" s="192"/>
      <c r="I102" s="615">
        <f t="shared" si="28"/>
        <v>0</v>
      </c>
    </row>
    <row r="103" spans="1:9" ht="24" customHeight="1" x14ac:dyDescent="0.55000000000000004">
      <c r="A103" s="270" t="s">
        <v>320</v>
      </c>
      <c r="B103" s="460" t="s">
        <v>2</v>
      </c>
      <c r="C103" s="491">
        <f>SUM(D103:F103)</f>
        <v>30000</v>
      </c>
      <c r="D103" s="485">
        <v>30000</v>
      </c>
      <c r="E103" s="485"/>
      <c r="F103" s="485"/>
      <c r="G103" s="192"/>
      <c r="H103" s="589">
        <v>30000</v>
      </c>
      <c r="I103" s="615">
        <f t="shared" si="28"/>
        <v>0</v>
      </c>
    </row>
    <row r="104" spans="1:9" ht="24" customHeight="1" x14ac:dyDescent="0.55000000000000004">
      <c r="A104" s="270"/>
      <c r="B104" s="271"/>
      <c r="C104" s="491"/>
      <c r="D104" s="485"/>
      <c r="E104" s="485"/>
      <c r="F104" s="485"/>
      <c r="G104" s="192"/>
      <c r="I104" s="615">
        <f t="shared" si="28"/>
        <v>0</v>
      </c>
    </row>
    <row r="105" spans="1:9" ht="24" customHeight="1" x14ac:dyDescent="0.55000000000000004">
      <c r="A105" s="274" t="s">
        <v>326</v>
      </c>
      <c r="B105" s="460" t="s">
        <v>2</v>
      </c>
      <c r="C105" s="491">
        <f>SUM(D105:F105)</f>
        <v>289200</v>
      </c>
      <c r="D105" s="485"/>
      <c r="E105" s="485">
        <v>289200</v>
      </c>
      <c r="F105" s="635">
        <v>0</v>
      </c>
      <c r="G105" s="192"/>
      <c r="H105" s="589">
        <v>289200</v>
      </c>
      <c r="I105" s="615">
        <f t="shared" si="28"/>
        <v>0</v>
      </c>
    </row>
    <row r="106" spans="1:9" ht="24" customHeight="1" x14ac:dyDescent="0.55000000000000004">
      <c r="A106" s="274"/>
      <c r="B106" s="271"/>
      <c r="C106" s="503"/>
      <c r="D106" s="272"/>
      <c r="E106" s="272"/>
      <c r="F106" s="514"/>
      <c r="G106" s="192"/>
      <c r="I106" s="615">
        <f t="shared" si="28"/>
        <v>0</v>
      </c>
    </row>
    <row r="107" spans="1:9" ht="24" customHeight="1" x14ac:dyDescent="0.55000000000000004">
      <c r="A107" s="270" t="s">
        <v>423</v>
      </c>
      <c r="B107" s="271" t="s">
        <v>2</v>
      </c>
      <c r="C107" s="503">
        <f>SUM(D107:F107)</f>
        <v>572000</v>
      </c>
      <c r="D107" s="272"/>
      <c r="E107" s="272">
        <v>572000</v>
      </c>
      <c r="F107" s="514"/>
      <c r="G107" s="192"/>
      <c r="H107" s="589">
        <v>572000</v>
      </c>
      <c r="I107" s="615">
        <f t="shared" si="28"/>
        <v>0</v>
      </c>
    </row>
    <row r="108" spans="1:9" ht="24" customHeight="1" x14ac:dyDescent="0.55000000000000004">
      <c r="A108" s="270"/>
      <c r="B108" s="271"/>
      <c r="C108" s="503"/>
      <c r="D108" s="272"/>
      <c r="E108" s="272"/>
      <c r="F108" s="514"/>
      <c r="G108" s="192"/>
      <c r="I108" s="615">
        <f t="shared" si="28"/>
        <v>0</v>
      </c>
    </row>
    <row r="109" spans="1:9" ht="24" customHeight="1" x14ac:dyDescent="0.55000000000000004">
      <c r="A109" s="270" t="s">
        <v>327</v>
      </c>
      <c r="B109" s="460" t="s">
        <v>2</v>
      </c>
      <c r="C109" s="491">
        <f>SUM(D109:F109)</f>
        <v>270000</v>
      </c>
      <c r="D109" s="485">
        <v>270000</v>
      </c>
      <c r="E109" s="485"/>
      <c r="F109" s="574"/>
      <c r="G109" s="192"/>
      <c r="H109" s="589">
        <v>270000</v>
      </c>
      <c r="I109" s="615">
        <f t="shared" si="28"/>
        <v>0</v>
      </c>
    </row>
    <row r="110" spans="1:9" ht="24" customHeight="1" x14ac:dyDescent="0.55000000000000004">
      <c r="A110" s="464"/>
      <c r="B110" s="458"/>
      <c r="C110" s="504"/>
      <c r="D110" s="459"/>
      <c r="E110" s="459"/>
      <c r="F110" s="659"/>
      <c r="G110" s="192"/>
      <c r="I110" s="615">
        <f t="shared" si="28"/>
        <v>0</v>
      </c>
    </row>
    <row r="111" spans="1:9" ht="24" customHeight="1" x14ac:dyDescent="0.55000000000000004">
      <c r="A111" s="589"/>
      <c r="B111" s="589"/>
      <c r="C111" s="589"/>
      <c r="D111" s="589"/>
      <c r="E111" s="589"/>
      <c r="F111" s="589"/>
      <c r="G111" s="589"/>
      <c r="I111" s="615"/>
    </row>
    <row r="112" spans="1:9" ht="24" customHeight="1" x14ac:dyDescent="0.55000000000000004">
      <c r="A112" s="589"/>
      <c r="B112" s="589"/>
      <c r="C112" s="589"/>
      <c r="D112" s="589"/>
      <c r="E112" s="589"/>
      <c r="F112" s="589"/>
      <c r="G112" s="589"/>
      <c r="I112" s="615"/>
    </row>
    <row r="113" spans="1:9" ht="24" customHeight="1" x14ac:dyDescent="0.55000000000000004">
      <c r="A113" s="661" t="s">
        <v>424</v>
      </c>
      <c r="B113" s="562" t="s">
        <v>2</v>
      </c>
      <c r="C113" s="563">
        <f>SUM(D113:F113)</f>
        <v>4235800</v>
      </c>
      <c r="D113" s="662"/>
      <c r="E113" s="662">
        <v>4235800</v>
      </c>
      <c r="F113" s="662">
        <v>0</v>
      </c>
      <c r="G113" s="192"/>
      <c r="H113" s="589">
        <v>4235800</v>
      </c>
      <c r="I113" s="615">
        <f t="shared" ref="I113:I114" si="29">H113-C113</f>
        <v>0</v>
      </c>
    </row>
    <row r="114" spans="1:9" ht="24" customHeight="1" x14ac:dyDescent="0.55000000000000004">
      <c r="A114" s="464"/>
      <c r="B114" s="458"/>
      <c r="C114" s="504"/>
      <c r="D114" s="459"/>
      <c r="E114" s="459"/>
      <c r="F114" s="659"/>
      <c r="G114" s="192"/>
      <c r="I114" s="615">
        <f t="shared" si="29"/>
        <v>0</v>
      </c>
    </row>
    <row r="115" spans="1:9" ht="24" customHeight="1" x14ac:dyDescent="0.55000000000000004">
      <c r="A115" s="468" t="s">
        <v>365</v>
      </c>
      <c r="B115" s="196" t="s">
        <v>2</v>
      </c>
      <c r="C115" s="267">
        <f>C61</f>
        <v>95510500</v>
      </c>
      <c r="D115" s="267">
        <f>D61</f>
        <v>38406900</v>
      </c>
      <c r="E115" s="267">
        <f>E61</f>
        <v>42638600</v>
      </c>
      <c r="F115" s="267">
        <f>F61</f>
        <v>14465000</v>
      </c>
      <c r="G115" s="192"/>
    </row>
    <row r="116" spans="1:9" ht="24" customHeight="1" x14ac:dyDescent="0.55000000000000004">
      <c r="A116" s="495"/>
      <c r="B116" s="196" t="s">
        <v>3</v>
      </c>
      <c r="C116" s="275"/>
      <c r="D116" s="275"/>
      <c r="E116" s="275"/>
      <c r="F116" s="275"/>
      <c r="G116" s="192"/>
    </row>
    <row r="117" spans="1:9" ht="24" customHeight="1" x14ac:dyDescent="0.55000000000000004">
      <c r="A117" s="195" t="s">
        <v>366</v>
      </c>
      <c r="B117" s="196" t="s">
        <v>2</v>
      </c>
      <c r="C117" s="197">
        <f>SUM(D117:F117)</f>
        <v>0</v>
      </c>
      <c r="D117" s="197">
        <v>0</v>
      </c>
      <c r="E117" s="197">
        <v>0</v>
      </c>
      <c r="F117" s="214">
        <v>0</v>
      </c>
      <c r="G117" s="192"/>
    </row>
    <row r="118" spans="1:9" ht="24" customHeight="1" x14ac:dyDescent="0.55000000000000004">
      <c r="A118" s="495"/>
      <c r="B118" s="196" t="s">
        <v>3</v>
      </c>
      <c r="C118" s="275"/>
      <c r="D118" s="275"/>
      <c r="E118" s="275"/>
      <c r="F118" s="275"/>
      <c r="G118" s="192"/>
    </row>
    <row r="119" spans="1:9" ht="24" customHeight="1" x14ac:dyDescent="0.55000000000000004">
      <c r="A119" s="673" t="s">
        <v>1</v>
      </c>
      <c r="B119" s="225" t="s">
        <v>2</v>
      </c>
      <c r="C119" s="267">
        <f>SUM(D119:F119)</f>
        <v>95510500</v>
      </c>
      <c r="D119" s="267">
        <f t="shared" ref="D119:F119" si="30">D115</f>
        <v>38406900</v>
      </c>
      <c r="E119" s="267">
        <f t="shared" si="30"/>
        <v>42638600</v>
      </c>
      <c r="F119" s="267">
        <f t="shared" si="30"/>
        <v>14465000</v>
      </c>
      <c r="G119" s="192"/>
    </row>
    <row r="120" spans="1:9" ht="24" customHeight="1" x14ac:dyDescent="0.55000000000000004">
      <c r="A120" s="674"/>
      <c r="B120" s="225" t="s">
        <v>3</v>
      </c>
      <c r="C120" s="267"/>
      <c r="D120" s="276"/>
      <c r="E120" s="276"/>
      <c r="F120" s="276"/>
      <c r="G120" s="192"/>
      <c r="H120" s="589">
        <f>E113/2</f>
        <v>2117900</v>
      </c>
    </row>
    <row r="121" spans="1:9" ht="23.1" customHeight="1" x14ac:dyDescent="0.55000000000000004">
      <c r="A121" s="190" t="s">
        <v>432</v>
      </c>
      <c r="C121" s="315"/>
      <c r="D121" s="121"/>
      <c r="G121" s="192"/>
    </row>
    <row r="122" spans="1:9" ht="6" customHeight="1" x14ac:dyDescent="0.55000000000000004">
      <c r="C122" s="315">
        <f>C119-C61</f>
        <v>0</v>
      </c>
      <c r="D122" s="315">
        <f>D119-D61</f>
        <v>0</v>
      </c>
      <c r="E122" s="315">
        <f>E119-E61</f>
        <v>0</v>
      </c>
      <c r="F122" s="315">
        <f>F119-F61</f>
        <v>0</v>
      </c>
      <c r="G122" s="192"/>
    </row>
    <row r="123" spans="1:9" s="12" customFormat="1" ht="23.1" customHeight="1" x14ac:dyDescent="0.55000000000000004">
      <c r="C123" s="617"/>
      <c r="D123" s="618"/>
      <c r="G123" s="192"/>
      <c r="H123" s="589"/>
    </row>
    <row r="124" spans="1:9" s="12" customFormat="1" ht="23.1" customHeight="1" x14ac:dyDescent="0.55000000000000004">
      <c r="C124" s="617"/>
      <c r="D124" s="618"/>
      <c r="G124" s="192"/>
      <c r="H124" s="589"/>
    </row>
    <row r="125" spans="1:9" s="12" customFormat="1" ht="23.1" customHeight="1" x14ac:dyDescent="0.55000000000000004">
      <c r="C125" s="617"/>
      <c r="D125" s="618"/>
      <c r="G125" s="192"/>
      <c r="H125" s="589"/>
    </row>
    <row r="126" spans="1:9" s="12" customFormat="1" ht="23.1" customHeight="1" x14ac:dyDescent="0.55000000000000004">
      <c r="C126" s="617"/>
      <c r="D126" s="618"/>
      <c r="G126" s="192"/>
      <c r="H126" s="589"/>
    </row>
    <row r="127" spans="1:9" s="12" customFormat="1" ht="23.1" customHeight="1" x14ac:dyDescent="0.55000000000000004">
      <c r="C127" s="617"/>
      <c r="D127" s="618"/>
      <c r="G127" s="192"/>
      <c r="H127" s="589"/>
    </row>
    <row r="128" spans="1:9" s="12" customFormat="1" ht="23.1" customHeight="1" x14ac:dyDescent="0.55000000000000004">
      <c r="C128" s="617"/>
      <c r="D128" s="618"/>
      <c r="G128" s="192"/>
      <c r="H128" s="589"/>
    </row>
    <row r="129" spans="3:8" s="12" customFormat="1" ht="23.1" customHeight="1" x14ac:dyDescent="0.55000000000000004">
      <c r="C129" s="617"/>
      <c r="D129" s="618"/>
      <c r="G129" s="192"/>
      <c r="H129" s="589"/>
    </row>
    <row r="130" spans="3:8" s="12" customFormat="1" ht="23.1" customHeight="1" x14ac:dyDescent="0.55000000000000004">
      <c r="C130" s="617"/>
      <c r="D130" s="618"/>
      <c r="G130" s="192"/>
      <c r="H130" s="589"/>
    </row>
    <row r="131" spans="3:8" s="12" customFormat="1" ht="23.1" customHeight="1" x14ac:dyDescent="0.55000000000000004">
      <c r="C131" s="617"/>
      <c r="D131" s="618"/>
      <c r="G131" s="192"/>
      <c r="H131" s="589"/>
    </row>
    <row r="132" spans="3:8" s="12" customFormat="1" ht="23.1" customHeight="1" x14ac:dyDescent="0.55000000000000004">
      <c r="C132" s="617"/>
      <c r="D132" s="618"/>
      <c r="G132" s="192"/>
      <c r="H132" s="589"/>
    </row>
    <row r="133" spans="3:8" s="12" customFormat="1" ht="23.1" customHeight="1" x14ac:dyDescent="0.55000000000000004">
      <c r="C133" s="617"/>
      <c r="D133" s="618"/>
      <c r="G133" s="192"/>
      <c r="H133" s="589"/>
    </row>
    <row r="134" spans="3:8" s="12" customFormat="1" ht="23.1" customHeight="1" x14ac:dyDescent="0.55000000000000004">
      <c r="C134" s="617"/>
      <c r="D134" s="618"/>
      <c r="G134" s="192"/>
      <c r="H134" s="589"/>
    </row>
    <row r="135" spans="3:8" s="12" customFormat="1" ht="23.1" customHeight="1" x14ac:dyDescent="0.55000000000000004">
      <c r="C135" s="617"/>
      <c r="D135" s="618"/>
      <c r="G135" s="192"/>
      <c r="H135" s="589"/>
    </row>
    <row r="136" spans="3:8" s="12" customFormat="1" ht="23.1" customHeight="1" x14ac:dyDescent="0.55000000000000004">
      <c r="C136" s="617"/>
      <c r="D136" s="618"/>
      <c r="G136" s="192"/>
      <c r="H136" s="589"/>
    </row>
    <row r="137" spans="3:8" s="12" customFormat="1" ht="23.1" customHeight="1" x14ac:dyDescent="0.55000000000000004">
      <c r="C137" s="617"/>
      <c r="D137" s="618"/>
      <c r="G137" s="192"/>
      <c r="H137" s="589"/>
    </row>
    <row r="138" spans="3:8" s="12" customFormat="1" ht="23.1" customHeight="1" x14ac:dyDescent="0.55000000000000004">
      <c r="C138" s="617"/>
      <c r="D138" s="618"/>
      <c r="G138" s="192"/>
      <c r="H138" s="589"/>
    </row>
    <row r="139" spans="3:8" s="12" customFormat="1" ht="23.1" customHeight="1" x14ac:dyDescent="0.55000000000000004">
      <c r="C139" s="617"/>
      <c r="D139" s="618"/>
      <c r="G139" s="192"/>
      <c r="H139" s="589"/>
    </row>
    <row r="140" spans="3:8" s="12" customFormat="1" ht="23.1" customHeight="1" x14ac:dyDescent="0.55000000000000004">
      <c r="C140" s="617"/>
      <c r="D140" s="618"/>
      <c r="G140" s="192"/>
      <c r="H140" s="589"/>
    </row>
    <row r="141" spans="3:8" s="12" customFormat="1" ht="23.1" customHeight="1" x14ac:dyDescent="0.55000000000000004">
      <c r="C141" s="617"/>
      <c r="D141" s="618"/>
      <c r="G141" s="192"/>
      <c r="H141" s="589"/>
    </row>
    <row r="142" spans="3:8" s="12" customFormat="1" ht="23.1" customHeight="1" x14ac:dyDescent="0.55000000000000004">
      <c r="C142" s="617"/>
      <c r="D142" s="618"/>
      <c r="G142" s="192"/>
      <c r="H142" s="589"/>
    </row>
    <row r="143" spans="3:8" s="12" customFormat="1" ht="23.1" customHeight="1" x14ac:dyDescent="0.55000000000000004">
      <c r="C143" s="617"/>
      <c r="D143" s="618"/>
      <c r="G143" s="192"/>
      <c r="H143" s="589"/>
    </row>
    <row r="144" spans="3:8" s="12" customFormat="1" ht="23.1" customHeight="1" x14ac:dyDescent="0.55000000000000004">
      <c r="C144" s="617"/>
      <c r="D144" s="618"/>
      <c r="G144" s="192"/>
      <c r="H144" s="589"/>
    </row>
    <row r="145" spans="3:8" s="12" customFormat="1" ht="23.1" customHeight="1" x14ac:dyDescent="0.55000000000000004">
      <c r="C145" s="617"/>
      <c r="D145" s="618"/>
      <c r="G145" s="192"/>
      <c r="H145" s="589"/>
    </row>
    <row r="146" spans="3:8" s="12" customFormat="1" ht="23.1" customHeight="1" x14ac:dyDescent="0.55000000000000004">
      <c r="C146" s="617"/>
      <c r="D146" s="618"/>
      <c r="G146" s="192"/>
      <c r="H146" s="589"/>
    </row>
    <row r="147" spans="3:8" s="12" customFormat="1" ht="23.1" customHeight="1" x14ac:dyDescent="0.55000000000000004">
      <c r="C147" s="617"/>
      <c r="D147" s="618"/>
      <c r="G147" s="192"/>
      <c r="H147" s="589"/>
    </row>
    <row r="148" spans="3:8" s="12" customFormat="1" ht="23.1" customHeight="1" x14ac:dyDescent="0.55000000000000004">
      <c r="C148" s="617"/>
      <c r="D148" s="618"/>
      <c r="G148" s="192"/>
      <c r="H148" s="589"/>
    </row>
    <row r="149" spans="3:8" s="12" customFormat="1" ht="23.1" customHeight="1" x14ac:dyDescent="0.55000000000000004">
      <c r="C149" s="617"/>
      <c r="D149" s="618"/>
      <c r="G149" s="192"/>
      <c r="H149" s="589"/>
    </row>
    <row r="150" spans="3:8" s="12" customFormat="1" ht="23.1" customHeight="1" x14ac:dyDescent="0.55000000000000004">
      <c r="C150" s="617"/>
      <c r="D150" s="618"/>
      <c r="G150" s="192"/>
      <c r="H150" s="589"/>
    </row>
    <row r="151" spans="3:8" s="12" customFormat="1" ht="23.1" customHeight="1" x14ac:dyDescent="0.55000000000000004">
      <c r="C151" s="617"/>
      <c r="D151" s="618"/>
      <c r="G151" s="192"/>
      <c r="H151" s="589"/>
    </row>
    <row r="152" spans="3:8" s="12" customFormat="1" ht="23.1" customHeight="1" x14ac:dyDescent="0.55000000000000004">
      <c r="C152" s="617"/>
      <c r="D152" s="618"/>
      <c r="G152" s="192"/>
      <c r="H152" s="589"/>
    </row>
    <row r="153" spans="3:8" s="12" customFormat="1" ht="23.1" customHeight="1" x14ac:dyDescent="0.55000000000000004">
      <c r="C153" s="617"/>
      <c r="D153" s="618"/>
      <c r="G153" s="192"/>
      <c r="H153" s="589"/>
    </row>
    <row r="154" spans="3:8" s="12" customFormat="1" ht="23.1" customHeight="1" x14ac:dyDescent="0.55000000000000004">
      <c r="C154" s="617"/>
      <c r="D154" s="618"/>
      <c r="G154" s="192"/>
      <c r="H154" s="589"/>
    </row>
    <row r="155" spans="3:8" s="12" customFormat="1" ht="23.1" customHeight="1" x14ac:dyDescent="0.55000000000000004">
      <c r="C155" s="617"/>
      <c r="D155" s="618"/>
      <c r="G155" s="192"/>
      <c r="H155" s="589"/>
    </row>
    <row r="156" spans="3:8" s="12" customFormat="1" ht="23.1" customHeight="1" x14ac:dyDescent="0.55000000000000004">
      <c r="C156" s="617"/>
      <c r="D156" s="618"/>
      <c r="G156" s="192"/>
      <c r="H156" s="589"/>
    </row>
    <row r="157" spans="3:8" s="12" customFormat="1" ht="23.1" customHeight="1" x14ac:dyDescent="0.55000000000000004">
      <c r="C157" s="617"/>
      <c r="D157" s="618"/>
      <c r="G157" s="192"/>
      <c r="H157" s="589"/>
    </row>
    <row r="158" spans="3:8" s="12" customFormat="1" ht="23.1" customHeight="1" x14ac:dyDescent="0.55000000000000004">
      <c r="C158" s="617"/>
      <c r="D158" s="618"/>
      <c r="G158" s="192"/>
      <c r="H158" s="589"/>
    </row>
    <row r="159" spans="3:8" s="12" customFormat="1" ht="23.1" customHeight="1" x14ac:dyDescent="0.55000000000000004">
      <c r="C159" s="617"/>
      <c r="D159" s="618"/>
      <c r="G159" s="192"/>
      <c r="H159" s="589"/>
    </row>
    <row r="160" spans="3:8" s="12" customFormat="1" ht="23.1" customHeight="1" x14ac:dyDescent="0.55000000000000004">
      <c r="C160" s="617"/>
      <c r="D160" s="618"/>
      <c r="G160" s="192"/>
      <c r="H160" s="589"/>
    </row>
    <row r="161" spans="3:8" s="12" customFormat="1" ht="23.1" customHeight="1" x14ac:dyDescent="0.55000000000000004">
      <c r="C161" s="617"/>
      <c r="D161" s="618"/>
      <c r="G161" s="192"/>
      <c r="H161" s="589"/>
    </row>
    <row r="162" spans="3:8" s="12" customFormat="1" ht="23.1" customHeight="1" x14ac:dyDescent="0.55000000000000004">
      <c r="C162" s="617"/>
      <c r="D162" s="618"/>
      <c r="G162" s="192"/>
      <c r="H162" s="589"/>
    </row>
    <row r="163" spans="3:8" s="12" customFormat="1" ht="23.1" customHeight="1" x14ac:dyDescent="0.55000000000000004">
      <c r="C163" s="617"/>
      <c r="D163" s="618"/>
      <c r="G163" s="192"/>
      <c r="H163" s="589"/>
    </row>
    <row r="164" spans="3:8" s="12" customFormat="1" ht="23.1" customHeight="1" x14ac:dyDescent="0.55000000000000004">
      <c r="C164" s="617"/>
      <c r="D164" s="618"/>
      <c r="G164" s="192"/>
      <c r="H164" s="589"/>
    </row>
    <row r="165" spans="3:8" s="12" customFormat="1" ht="23.1" customHeight="1" x14ac:dyDescent="0.55000000000000004">
      <c r="C165" s="617"/>
      <c r="D165" s="618"/>
      <c r="G165" s="192"/>
      <c r="H165" s="589"/>
    </row>
    <row r="166" spans="3:8" s="12" customFormat="1" ht="23.1" customHeight="1" x14ac:dyDescent="0.55000000000000004">
      <c r="C166" s="617"/>
      <c r="D166" s="618"/>
      <c r="G166" s="192"/>
      <c r="H166" s="589"/>
    </row>
    <row r="167" spans="3:8" s="12" customFormat="1" ht="23.1" customHeight="1" x14ac:dyDescent="0.55000000000000004">
      <c r="C167" s="617"/>
      <c r="D167" s="618"/>
      <c r="G167" s="192"/>
      <c r="H167" s="589"/>
    </row>
    <row r="168" spans="3:8" s="12" customFormat="1" ht="23.1" customHeight="1" x14ac:dyDescent="0.55000000000000004">
      <c r="C168" s="617"/>
      <c r="D168" s="618"/>
      <c r="G168" s="192"/>
      <c r="H168" s="589"/>
    </row>
    <row r="169" spans="3:8" s="12" customFormat="1" ht="23.1" customHeight="1" x14ac:dyDescent="0.55000000000000004">
      <c r="C169" s="618">
        <f>C15+C17+C18+C24+C25+C27+C69+C70+C71+C78+C79+C81+C89+C90+C93+C97+C99+C101+C103+C109</f>
        <v>74921800</v>
      </c>
      <c r="D169" s="618">
        <f>D15+D17+D18+D24+D25+D27+D69+D70+D71+D78+D79+D81+D89+D90+D93+D97+D99+D101+D103+D109</f>
        <v>38738800</v>
      </c>
      <c r="G169" s="192"/>
      <c r="H169" s="589"/>
    </row>
    <row r="170" spans="3:8" s="12" customFormat="1" ht="23.1" customHeight="1" x14ac:dyDescent="0.55000000000000004">
      <c r="C170" s="617"/>
      <c r="D170" s="618"/>
      <c r="G170" s="192"/>
      <c r="H170" s="589"/>
    </row>
    <row r="171" spans="3:8" s="12" customFormat="1" ht="23.1" customHeight="1" x14ac:dyDescent="0.55000000000000004">
      <c r="C171" s="617"/>
      <c r="D171" s="618"/>
      <c r="G171" s="192"/>
      <c r="H171" s="589"/>
    </row>
    <row r="172" spans="3:8" s="12" customFormat="1" ht="23.1" customHeight="1" x14ac:dyDescent="0.55000000000000004">
      <c r="C172" s="617"/>
      <c r="D172" s="618"/>
      <c r="G172" s="192"/>
      <c r="H172" s="589"/>
    </row>
    <row r="173" spans="3:8" s="12" customFormat="1" ht="23.1" customHeight="1" x14ac:dyDescent="0.55000000000000004">
      <c r="C173" s="617"/>
      <c r="D173" s="618"/>
      <c r="G173" s="192"/>
      <c r="H173" s="589"/>
    </row>
    <row r="174" spans="3:8" s="12" customFormat="1" ht="23.1" customHeight="1" x14ac:dyDescent="0.55000000000000004">
      <c r="C174" s="617"/>
      <c r="D174" s="618"/>
      <c r="G174" s="192"/>
      <c r="H174" s="589"/>
    </row>
    <row r="175" spans="3:8" s="12" customFormat="1" ht="23.1" customHeight="1" x14ac:dyDescent="0.55000000000000004">
      <c r="C175" s="617"/>
      <c r="D175" s="618"/>
      <c r="G175" s="192"/>
      <c r="H175" s="589"/>
    </row>
    <row r="176" spans="3:8" s="12" customFormat="1" ht="23.1" customHeight="1" x14ac:dyDescent="0.55000000000000004">
      <c r="C176" s="617"/>
      <c r="D176" s="618"/>
      <c r="G176" s="192"/>
      <c r="H176" s="589"/>
    </row>
    <row r="177" spans="3:8" s="12" customFormat="1" ht="23.1" customHeight="1" x14ac:dyDescent="0.55000000000000004">
      <c r="C177" s="619">
        <f>(C65+C11)*30/100</f>
        <v>18814380</v>
      </c>
      <c r="D177" s="618">
        <f>D78+D79+D71+D70+D69+D15+D17</f>
        <v>8202200</v>
      </c>
      <c r="G177" s="192"/>
      <c r="H177" s="589"/>
    </row>
    <row r="178" spans="3:8" s="12" customFormat="1" ht="23.1" customHeight="1" x14ac:dyDescent="0.55000000000000004">
      <c r="C178" s="617"/>
      <c r="D178" s="618"/>
      <c r="G178" s="192"/>
      <c r="H178" s="589"/>
    </row>
    <row r="179" spans="3:8" s="12" customFormat="1" ht="23.1" customHeight="1" x14ac:dyDescent="0.55000000000000004">
      <c r="C179" s="617"/>
      <c r="D179" s="618"/>
      <c r="G179" s="192"/>
      <c r="H179" s="589"/>
    </row>
    <row r="180" spans="3:8" s="12" customFormat="1" ht="23.1" customHeight="1" x14ac:dyDescent="0.55000000000000004">
      <c r="C180" s="617"/>
      <c r="D180" s="618"/>
      <c r="G180" s="192"/>
      <c r="H180" s="589"/>
    </row>
    <row r="181" spans="3:8" s="12" customFormat="1" ht="23.1" customHeight="1" x14ac:dyDescent="0.55000000000000004">
      <c r="C181" s="617"/>
      <c r="D181" s="618"/>
      <c r="G181" s="192"/>
      <c r="H181" s="589"/>
    </row>
    <row r="182" spans="3:8" ht="23.1" customHeight="1" x14ac:dyDescent="0.55000000000000004">
      <c r="D182" s="121"/>
      <c r="G182" s="192"/>
    </row>
    <row r="183" spans="3:8" ht="23.1" customHeight="1" x14ac:dyDescent="0.55000000000000004">
      <c r="D183" s="121"/>
      <c r="G183" s="192"/>
    </row>
    <row r="184" spans="3:8" ht="23.1" customHeight="1" x14ac:dyDescent="0.55000000000000004">
      <c r="D184" s="121"/>
      <c r="G184" s="192"/>
    </row>
    <row r="185" spans="3:8" ht="23.1" customHeight="1" x14ac:dyDescent="0.55000000000000004">
      <c r="D185" s="121"/>
      <c r="G185" s="192"/>
    </row>
    <row r="186" spans="3:8" ht="23.1" customHeight="1" x14ac:dyDescent="0.55000000000000004">
      <c r="D186" s="121"/>
      <c r="G186" s="192"/>
    </row>
    <row r="187" spans="3:8" ht="23.1" customHeight="1" x14ac:dyDescent="0.55000000000000004">
      <c r="D187" s="121"/>
      <c r="G187" s="192"/>
    </row>
    <row r="188" spans="3:8" ht="23.1" customHeight="1" x14ac:dyDescent="0.55000000000000004">
      <c r="D188" s="121"/>
      <c r="G188" s="192"/>
    </row>
    <row r="189" spans="3:8" ht="23.1" customHeight="1" x14ac:dyDescent="0.55000000000000004">
      <c r="D189" s="121"/>
      <c r="G189" s="192"/>
    </row>
    <row r="190" spans="3:8" ht="23.1" customHeight="1" x14ac:dyDescent="0.55000000000000004">
      <c r="D190" s="121"/>
      <c r="G190" s="192"/>
    </row>
    <row r="191" spans="3:8" ht="23.1" customHeight="1" x14ac:dyDescent="0.55000000000000004">
      <c r="D191" s="121"/>
      <c r="G191" s="192"/>
    </row>
    <row r="192" spans="3:8" ht="23.1" customHeight="1" x14ac:dyDescent="0.55000000000000004">
      <c r="D192" s="121"/>
      <c r="G192" s="192"/>
    </row>
    <row r="193" spans="1:7" ht="23.1" customHeight="1" x14ac:dyDescent="0.55000000000000004">
      <c r="D193" s="121"/>
      <c r="G193" s="192"/>
    </row>
    <row r="194" spans="1:7" ht="23.1" customHeight="1" x14ac:dyDescent="0.55000000000000004">
      <c r="D194" s="121"/>
      <c r="G194" s="192"/>
    </row>
    <row r="195" spans="1:7" ht="23.1" customHeight="1" x14ac:dyDescent="0.55000000000000004">
      <c r="D195" s="121"/>
      <c r="G195" s="192"/>
    </row>
    <row r="196" spans="1:7" ht="23.1" customHeight="1" x14ac:dyDescent="0.55000000000000004">
      <c r="D196" s="121"/>
      <c r="G196" s="192"/>
    </row>
    <row r="197" spans="1:7" ht="23.1" customHeight="1" x14ac:dyDescent="0.55000000000000004">
      <c r="D197" s="121"/>
      <c r="G197" s="192"/>
    </row>
    <row r="198" spans="1:7" ht="23.1" customHeight="1" x14ac:dyDescent="0.55000000000000004">
      <c r="G198" s="192"/>
    </row>
    <row r="199" spans="1:7" ht="23.1" customHeight="1" x14ac:dyDescent="0.55000000000000004">
      <c r="G199" s="192"/>
    </row>
    <row r="200" spans="1:7" ht="23.1" customHeight="1" x14ac:dyDescent="0.55000000000000004">
      <c r="G200" s="192"/>
    </row>
    <row r="201" spans="1:7" ht="23.1" customHeight="1" x14ac:dyDescent="0.55000000000000004">
      <c r="A201" s="270" t="s">
        <v>321</v>
      </c>
      <c r="B201" s="271" t="s">
        <v>2</v>
      </c>
      <c r="C201" s="503">
        <f>SUM(D201:F201)</f>
        <v>0</v>
      </c>
      <c r="D201" s="272"/>
      <c r="E201" s="272"/>
      <c r="F201" s="272"/>
      <c r="G201" s="192"/>
    </row>
    <row r="202" spans="1:7" ht="23.1" customHeight="1" x14ac:dyDescent="0.55000000000000004">
      <c r="A202" s="270"/>
      <c r="B202" s="271" t="s">
        <v>3</v>
      </c>
      <c r="C202" s="503"/>
      <c r="D202" s="272"/>
      <c r="E202" s="272"/>
      <c r="F202" s="272"/>
      <c r="G202" s="192"/>
    </row>
    <row r="203" spans="1:7" ht="23.1" customHeight="1" x14ac:dyDescent="0.55000000000000004">
      <c r="A203" s="274" t="s">
        <v>322</v>
      </c>
      <c r="B203" s="271" t="s">
        <v>2</v>
      </c>
      <c r="C203" s="503">
        <f>SUM(D203:F203)</f>
        <v>0</v>
      </c>
      <c r="D203" s="272"/>
      <c r="E203" s="272"/>
      <c r="F203" s="272"/>
      <c r="G203" s="192"/>
    </row>
    <row r="204" spans="1:7" ht="23.1" customHeight="1" x14ac:dyDescent="0.55000000000000004">
      <c r="A204" s="274"/>
      <c r="B204" s="271" t="s">
        <v>3</v>
      </c>
      <c r="C204" s="503"/>
      <c r="D204" s="272"/>
      <c r="E204" s="272"/>
      <c r="F204" s="272"/>
      <c r="G204" s="192"/>
    </row>
    <row r="205" spans="1:7" ht="23.1" customHeight="1" x14ac:dyDescent="0.55000000000000004">
      <c r="A205" s="274" t="s">
        <v>323</v>
      </c>
      <c r="B205" s="271" t="s">
        <v>2</v>
      </c>
      <c r="C205" s="503">
        <f>SUM(D205:F205)</f>
        <v>0</v>
      </c>
      <c r="D205" s="272"/>
      <c r="E205" s="272"/>
      <c r="F205" s="272"/>
      <c r="G205" s="192"/>
    </row>
    <row r="206" spans="1:7" ht="23.1" customHeight="1" x14ac:dyDescent="0.55000000000000004">
      <c r="A206" s="274"/>
      <c r="B206" s="271" t="s">
        <v>3</v>
      </c>
      <c r="C206" s="503"/>
      <c r="D206" s="272"/>
      <c r="E206" s="272"/>
      <c r="F206" s="272"/>
      <c r="G206" s="192"/>
    </row>
    <row r="207" spans="1:7" ht="23.1" customHeight="1" x14ac:dyDescent="0.55000000000000004">
      <c r="A207" s="274" t="s">
        <v>324</v>
      </c>
      <c r="B207" s="271" t="s">
        <v>2</v>
      </c>
      <c r="C207" s="503">
        <f>SUM(D207:F207)</f>
        <v>0</v>
      </c>
      <c r="D207" s="272"/>
      <c r="E207" s="272"/>
      <c r="F207" s="272"/>
      <c r="G207" s="192"/>
    </row>
    <row r="208" spans="1:7" ht="23.1" customHeight="1" x14ac:dyDescent="0.55000000000000004">
      <c r="A208" s="274"/>
      <c r="B208" s="271" t="s">
        <v>3</v>
      </c>
      <c r="C208" s="503"/>
      <c r="D208" s="272"/>
      <c r="E208" s="272"/>
      <c r="F208" s="272"/>
      <c r="G208" s="192"/>
    </row>
    <row r="209" spans="1:7" ht="23.1" customHeight="1" x14ac:dyDescent="0.55000000000000004">
      <c r="A209" s="274" t="s">
        <v>325</v>
      </c>
      <c r="B209" s="271" t="s">
        <v>2</v>
      </c>
      <c r="C209" s="503">
        <f>SUM(D209:F209)</f>
        <v>0</v>
      </c>
      <c r="D209" s="272"/>
      <c r="E209" s="272"/>
      <c r="F209" s="272"/>
      <c r="G209" s="192"/>
    </row>
    <row r="210" spans="1:7" ht="23.1" customHeight="1" x14ac:dyDescent="0.55000000000000004">
      <c r="A210" s="274"/>
      <c r="B210" s="271" t="s">
        <v>3</v>
      </c>
      <c r="C210" s="503"/>
      <c r="D210" s="272"/>
      <c r="E210" s="272"/>
      <c r="F210" s="272"/>
      <c r="G210" s="192"/>
    </row>
    <row r="211" spans="1:7" ht="23.1" customHeight="1" x14ac:dyDescent="0.55000000000000004"/>
    <row r="212" spans="1:7" ht="23.1" customHeight="1" x14ac:dyDescent="0.55000000000000004"/>
    <row r="213" spans="1:7" ht="23.1" customHeight="1" x14ac:dyDescent="0.55000000000000004"/>
    <row r="214" spans="1:7" ht="23.1" customHeight="1" x14ac:dyDescent="0.55000000000000004"/>
    <row r="215" spans="1:7" ht="23.1" customHeight="1" x14ac:dyDescent="0.55000000000000004"/>
    <row r="216" spans="1:7" ht="23.1" customHeight="1" x14ac:dyDescent="0.55000000000000004"/>
    <row r="217" spans="1:7" ht="23.1" customHeight="1" x14ac:dyDescent="0.55000000000000004"/>
    <row r="218" spans="1:7" ht="23.1" customHeight="1" x14ac:dyDescent="0.55000000000000004"/>
    <row r="219" spans="1:7" ht="23.1" customHeight="1" x14ac:dyDescent="0.55000000000000004"/>
    <row r="220" spans="1:7" ht="23.1" customHeight="1" x14ac:dyDescent="0.55000000000000004"/>
    <row r="221" spans="1:7" ht="23.1" customHeight="1" x14ac:dyDescent="0.55000000000000004"/>
    <row r="222" spans="1:7" ht="23.1" customHeight="1" x14ac:dyDescent="0.55000000000000004"/>
    <row r="223" spans="1:7" ht="23.1" customHeight="1" x14ac:dyDescent="0.55000000000000004"/>
    <row r="224" spans="1:7" ht="23.1" customHeight="1" x14ac:dyDescent="0.55000000000000004"/>
    <row r="225" ht="23.1" customHeight="1" x14ac:dyDescent="0.55000000000000004"/>
    <row r="226" ht="23.1" customHeight="1" x14ac:dyDescent="0.55000000000000004"/>
    <row r="227" ht="23.1" customHeight="1" x14ac:dyDescent="0.55000000000000004"/>
    <row r="228" ht="23.1" customHeight="1" x14ac:dyDescent="0.55000000000000004"/>
    <row r="229" ht="23.1" customHeight="1" x14ac:dyDescent="0.55000000000000004"/>
    <row r="230" ht="23.1" customHeight="1" x14ac:dyDescent="0.55000000000000004"/>
    <row r="231" ht="23.1" customHeight="1" x14ac:dyDescent="0.55000000000000004"/>
    <row r="232" ht="23.1" customHeight="1" x14ac:dyDescent="0.55000000000000004"/>
    <row r="233" ht="23.1" customHeight="1" x14ac:dyDescent="0.55000000000000004"/>
    <row r="234" ht="23.1" customHeight="1" x14ac:dyDescent="0.55000000000000004"/>
    <row r="235" ht="23.1" customHeight="1" x14ac:dyDescent="0.55000000000000004"/>
    <row r="236" ht="23.1" customHeight="1" x14ac:dyDescent="0.55000000000000004"/>
    <row r="237" ht="23.1" customHeight="1" x14ac:dyDescent="0.55000000000000004"/>
    <row r="238" ht="23.1" customHeight="1" x14ac:dyDescent="0.55000000000000004"/>
    <row r="239" ht="23.1" customHeight="1" x14ac:dyDescent="0.55000000000000004"/>
    <row r="240" ht="24" customHeight="1" x14ac:dyDescent="0.55000000000000004"/>
    <row r="241" ht="24" customHeight="1" x14ac:dyDescent="0.55000000000000004"/>
    <row r="242" ht="24" customHeight="1" x14ac:dyDescent="0.55000000000000004"/>
    <row r="243" ht="24" customHeight="1" x14ac:dyDescent="0.55000000000000004"/>
    <row r="244" ht="24" customHeight="1" x14ac:dyDescent="0.55000000000000004"/>
    <row r="245" ht="24" customHeight="1" x14ac:dyDescent="0.55000000000000004"/>
    <row r="246" ht="24" customHeight="1" x14ac:dyDescent="0.55000000000000004"/>
    <row r="247" ht="24" customHeight="1" x14ac:dyDescent="0.55000000000000004"/>
    <row r="248" ht="24" customHeight="1" x14ac:dyDescent="0.55000000000000004"/>
    <row r="249" ht="24" customHeight="1" x14ac:dyDescent="0.55000000000000004"/>
    <row r="250" ht="24" customHeight="1" x14ac:dyDescent="0.55000000000000004"/>
    <row r="251" ht="24" customHeight="1" x14ac:dyDescent="0.55000000000000004"/>
    <row r="252" ht="24" customHeight="1" x14ac:dyDescent="0.55000000000000004"/>
    <row r="253" ht="24" customHeight="1" x14ac:dyDescent="0.55000000000000004"/>
    <row r="254" ht="24" customHeight="1" x14ac:dyDescent="0.55000000000000004"/>
    <row r="255" ht="24" customHeight="1" x14ac:dyDescent="0.55000000000000004"/>
    <row r="256" ht="24" customHeight="1" x14ac:dyDescent="0.55000000000000004"/>
    <row r="257" ht="24" customHeight="1" x14ac:dyDescent="0.55000000000000004"/>
    <row r="258" ht="24" customHeight="1" x14ac:dyDescent="0.55000000000000004"/>
    <row r="259" ht="24" customHeight="1" x14ac:dyDescent="0.55000000000000004"/>
    <row r="260" ht="24" customHeight="1" x14ac:dyDescent="0.55000000000000004"/>
    <row r="261" ht="24" customHeight="1" x14ac:dyDescent="0.55000000000000004"/>
    <row r="262" ht="24" customHeight="1" x14ac:dyDescent="0.55000000000000004"/>
    <row r="263" ht="24" customHeight="1" x14ac:dyDescent="0.55000000000000004"/>
    <row r="264" ht="24" customHeight="1" x14ac:dyDescent="0.55000000000000004"/>
    <row r="265" ht="24" customHeight="1" x14ac:dyDescent="0.55000000000000004"/>
    <row r="266" ht="24" customHeight="1" x14ac:dyDescent="0.55000000000000004"/>
    <row r="267" ht="24" customHeight="1" x14ac:dyDescent="0.55000000000000004"/>
    <row r="268" ht="24" customHeight="1" x14ac:dyDescent="0.55000000000000004"/>
    <row r="269" ht="24" customHeight="1" x14ac:dyDescent="0.55000000000000004"/>
    <row r="270" ht="24" customHeight="1" x14ac:dyDescent="0.55000000000000004"/>
    <row r="271" ht="24" customHeight="1" x14ac:dyDescent="0.55000000000000004"/>
    <row r="272" ht="24" customHeight="1" x14ac:dyDescent="0.55000000000000004"/>
    <row r="273" ht="24" customHeight="1" x14ac:dyDescent="0.55000000000000004"/>
    <row r="274" ht="24" customHeight="1" x14ac:dyDescent="0.55000000000000004"/>
    <row r="275" ht="24" customHeight="1" x14ac:dyDescent="0.55000000000000004"/>
    <row r="276" ht="24" customHeight="1" x14ac:dyDescent="0.55000000000000004"/>
    <row r="277" ht="24" customHeight="1" x14ac:dyDescent="0.55000000000000004"/>
    <row r="278" ht="24" customHeight="1" x14ac:dyDescent="0.55000000000000004"/>
    <row r="279" ht="24" customHeight="1" x14ac:dyDescent="0.55000000000000004"/>
    <row r="280" ht="24" customHeight="1" x14ac:dyDescent="0.55000000000000004"/>
    <row r="281" ht="24" customHeight="1" x14ac:dyDescent="0.55000000000000004"/>
    <row r="282" ht="24" customHeight="1" x14ac:dyDescent="0.55000000000000004"/>
    <row r="283" ht="24" customHeight="1" x14ac:dyDescent="0.55000000000000004"/>
    <row r="284" ht="24" customHeight="1" x14ac:dyDescent="0.55000000000000004"/>
    <row r="285" ht="24" customHeight="1" x14ac:dyDescent="0.55000000000000004"/>
    <row r="286" ht="24" customHeight="1" x14ac:dyDescent="0.55000000000000004"/>
    <row r="287" ht="24" customHeight="1" x14ac:dyDescent="0.55000000000000004"/>
    <row r="288" ht="24" customHeight="1" x14ac:dyDescent="0.55000000000000004"/>
    <row r="289" ht="24" customHeight="1" x14ac:dyDescent="0.55000000000000004"/>
    <row r="290" ht="24" customHeight="1" x14ac:dyDescent="0.55000000000000004"/>
    <row r="291" ht="24" customHeight="1" x14ac:dyDescent="0.55000000000000004"/>
  </sheetData>
  <mergeCells count="8">
    <mergeCell ref="A42:A43"/>
    <mergeCell ref="A119:A120"/>
    <mergeCell ref="A1:F1"/>
    <mergeCell ref="A5:A6"/>
    <mergeCell ref="C5:C6"/>
    <mergeCell ref="D5:D6"/>
    <mergeCell ref="E5:E6"/>
    <mergeCell ref="F5:F6"/>
  </mergeCells>
  <pageMargins left="0.59055118110236227" right="0.39370078740157483" top="0.59055118110236227" bottom="0.19685039370078741" header="0.31496062992125984" footer="0.11811023622047245"/>
  <pageSetup paperSize="9" scale="70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B85286-4CFE-4639-916D-16A3E7C1A053}">
  <sheetPr>
    <tabColor theme="8" tint="0.39997558519241921"/>
  </sheetPr>
  <dimension ref="A1:J69"/>
  <sheetViews>
    <sheetView workbookViewId="0">
      <selection activeCell="D5" sqref="D5:F6"/>
    </sheetView>
  </sheetViews>
  <sheetFormatPr defaultColWidth="9" defaultRowHeight="24" x14ac:dyDescent="0.55000000000000004"/>
  <cols>
    <col min="1" max="1" width="76.625" style="122" customWidth="1"/>
    <col min="2" max="2" width="8.125" style="122" customWidth="1"/>
    <col min="3" max="3" width="22.625" style="220" customWidth="1"/>
    <col min="4" max="6" width="22.625" style="122" customWidth="1"/>
    <col min="7" max="7" width="2.25" style="122" customWidth="1"/>
    <col min="8" max="8" width="13.375" style="589" customWidth="1"/>
    <col min="9" max="9" width="12.75" style="12" customWidth="1"/>
    <col min="10" max="18" width="39.375" style="122" customWidth="1"/>
    <col min="19" max="16384" width="9" style="122"/>
  </cols>
  <sheetData>
    <row r="1" spans="1:10" ht="21.95" customHeight="1" x14ac:dyDescent="0.55000000000000004">
      <c r="A1" s="672" t="s">
        <v>411</v>
      </c>
      <c r="B1" s="672"/>
      <c r="C1" s="672"/>
      <c r="D1" s="672"/>
      <c r="E1" s="672"/>
      <c r="F1" s="672"/>
      <c r="G1" s="240"/>
    </row>
    <row r="2" spans="1:10" ht="21.95" customHeight="1" x14ac:dyDescent="0.55000000000000004">
      <c r="A2" s="188" t="s">
        <v>55</v>
      </c>
      <c r="B2" s="188"/>
      <c r="C2" s="189"/>
      <c r="D2" s="188"/>
      <c r="E2" s="188"/>
      <c r="F2" s="188"/>
      <c r="G2" s="188"/>
    </row>
    <row r="3" spans="1:10" ht="20.100000000000001" customHeight="1" x14ac:dyDescent="0.55000000000000004">
      <c r="A3" s="190"/>
      <c r="B3" s="190"/>
      <c r="C3" s="191"/>
      <c r="E3" s="192"/>
      <c r="F3" s="568" t="s">
        <v>28</v>
      </c>
      <c r="G3" s="192"/>
    </row>
    <row r="4" spans="1:10" ht="5.25" customHeight="1" x14ac:dyDescent="0.55000000000000004">
      <c r="A4" s="190"/>
      <c r="B4" s="190"/>
      <c r="C4" s="191"/>
      <c r="D4" s="192"/>
      <c r="E4" s="192"/>
      <c r="F4" s="192"/>
      <c r="G4" s="192"/>
    </row>
    <row r="5" spans="1:10" ht="21.95" customHeight="1" x14ac:dyDescent="0.5">
      <c r="A5" s="675" t="s">
        <v>13</v>
      </c>
      <c r="B5" s="193" t="s">
        <v>5</v>
      </c>
      <c r="C5" s="677" t="s">
        <v>1</v>
      </c>
      <c r="D5" s="679" t="s">
        <v>414</v>
      </c>
      <c r="E5" s="679" t="s">
        <v>415</v>
      </c>
      <c r="F5" s="679" t="s">
        <v>416</v>
      </c>
      <c r="G5" s="526"/>
      <c r="H5" s="612" t="s">
        <v>255</v>
      </c>
      <c r="I5" s="613" t="s">
        <v>381</v>
      </c>
    </row>
    <row r="6" spans="1:10" ht="21.95" customHeight="1" x14ac:dyDescent="0.2">
      <c r="A6" s="676"/>
      <c r="B6" s="194" t="s">
        <v>3</v>
      </c>
      <c r="C6" s="678"/>
      <c r="D6" s="671"/>
      <c r="E6" s="671"/>
      <c r="F6" s="671"/>
      <c r="G6" s="240"/>
      <c r="H6" s="614"/>
      <c r="I6" s="298"/>
    </row>
    <row r="7" spans="1:10" ht="21.95" customHeight="1" x14ac:dyDescent="0.55000000000000004">
      <c r="A7" s="556" t="s">
        <v>194</v>
      </c>
      <c r="B7" s="557" t="s">
        <v>2</v>
      </c>
      <c r="C7" s="558">
        <f>SUM(D7:F7)</f>
        <v>0</v>
      </c>
      <c r="D7" s="558">
        <f>D9</f>
        <v>0</v>
      </c>
      <c r="E7" s="558">
        <f t="shared" ref="E7:F7" si="0">E9</f>
        <v>0</v>
      </c>
      <c r="F7" s="558">
        <f t="shared" si="0"/>
        <v>0</v>
      </c>
      <c r="G7" s="192"/>
    </row>
    <row r="8" spans="1:10" ht="21.95" customHeight="1" x14ac:dyDescent="0.55000000000000004">
      <c r="A8" s="559"/>
      <c r="B8" s="557" t="s">
        <v>3</v>
      </c>
      <c r="C8" s="558">
        <f>D8+E8+F8</f>
        <v>0</v>
      </c>
      <c r="D8" s="560"/>
      <c r="E8" s="560"/>
      <c r="F8" s="560"/>
      <c r="G8" s="192"/>
    </row>
    <row r="9" spans="1:10" ht="21.95" customHeight="1" x14ac:dyDescent="0.55000000000000004">
      <c r="A9" s="622" t="s">
        <v>344</v>
      </c>
      <c r="B9" s="623" t="s">
        <v>2</v>
      </c>
      <c r="C9" s="624">
        <f>SUM(D9:F9)</f>
        <v>0</v>
      </c>
      <c r="D9" s="625">
        <f>D14+D17+D21+D26</f>
        <v>0</v>
      </c>
      <c r="E9" s="625">
        <f t="shared" ref="E9:F9" si="1">E14+E17+E21+E26</f>
        <v>0</v>
      </c>
      <c r="F9" s="625">
        <f t="shared" si="1"/>
        <v>0</v>
      </c>
      <c r="G9" s="534"/>
      <c r="I9" s="615"/>
    </row>
    <row r="10" spans="1:10" ht="21.95" customHeight="1" x14ac:dyDescent="0.55000000000000004">
      <c r="A10" s="626"/>
      <c r="B10" s="627" t="s">
        <v>3</v>
      </c>
      <c r="C10" s="214"/>
      <c r="D10" s="628"/>
      <c r="E10" s="628"/>
      <c r="F10" s="628"/>
      <c r="G10" s="235"/>
      <c r="I10" s="615">
        <f>H10-C10</f>
        <v>0</v>
      </c>
    </row>
    <row r="11" spans="1:10" ht="21.95" customHeight="1" x14ac:dyDescent="0.55000000000000004">
      <c r="A11" s="466" t="s">
        <v>399</v>
      </c>
      <c r="B11" s="241" t="s">
        <v>2</v>
      </c>
      <c r="C11" s="256">
        <f>SUM(D11:F11)</f>
        <v>0</v>
      </c>
      <c r="D11" s="453"/>
      <c r="E11" s="453"/>
      <c r="F11" s="621"/>
      <c r="G11" s="235"/>
      <c r="I11" s="615">
        <f>H11-C11</f>
        <v>0</v>
      </c>
    </row>
    <row r="12" spans="1:10" ht="21.95" customHeight="1" x14ac:dyDescent="0.55000000000000004">
      <c r="A12" s="466"/>
      <c r="B12" s="241" t="s">
        <v>3</v>
      </c>
      <c r="C12" s="256"/>
      <c r="D12" s="453"/>
      <c r="E12" s="453"/>
      <c r="F12" s="453"/>
      <c r="G12" s="235"/>
      <c r="I12" s="615"/>
    </row>
    <row r="13" spans="1:10" ht="21.95" customHeight="1" x14ac:dyDescent="0.55000000000000004">
      <c r="A13" s="466" t="s">
        <v>400</v>
      </c>
      <c r="B13" s="245"/>
      <c r="C13" s="256"/>
      <c r="D13" s="453"/>
      <c r="E13" s="453"/>
      <c r="F13" s="453"/>
      <c r="G13" s="235"/>
      <c r="I13" s="615"/>
    </row>
    <row r="14" spans="1:10" s="220" customFormat="1" ht="21.95" customHeight="1" x14ac:dyDescent="0.55000000000000004">
      <c r="A14" s="222" t="s">
        <v>297</v>
      </c>
      <c r="B14" s="241" t="s">
        <v>2</v>
      </c>
      <c r="C14" s="496">
        <f>SUM(D14:F14)</f>
        <v>0</v>
      </c>
      <c r="D14" s="255"/>
      <c r="E14" s="478"/>
      <c r="F14" s="478"/>
      <c r="G14" s="544"/>
      <c r="H14" s="589">
        <v>120000</v>
      </c>
      <c r="I14" s="615">
        <f>H14-C14</f>
        <v>120000</v>
      </c>
      <c r="J14" s="575"/>
    </row>
    <row r="15" spans="1:10" s="220" customFormat="1" ht="21.95" customHeight="1" x14ac:dyDescent="0.55000000000000004">
      <c r="A15" s="222"/>
      <c r="B15" s="241" t="s">
        <v>3</v>
      </c>
      <c r="C15" s="496"/>
      <c r="D15" s="255"/>
      <c r="E15" s="478"/>
      <c r="F15" s="478"/>
      <c r="G15" s="544"/>
      <c r="H15" s="589"/>
      <c r="I15" s="615">
        <f>H15-C15</f>
        <v>0</v>
      </c>
    </row>
    <row r="16" spans="1:10" s="220" customFormat="1" ht="21.95" customHeight="1" x14ac:dyDescent="0.55000000000000004">
      <c r="A16" s="466" t="s">
        <v>401</v>
      </c>
      <c r="B16" s="241"/>
      <c r="C16" s="496"/>
      <c r="D16" s="255"/>
      <c r="E16" s="478"/>
      <c r="F16" s="478"/>
      <c r="G16" s="544"/>
      <c r="H16" s="589"/>
      <c r="I16" s="615"/>
    </row>
    <row r="17" spans="1:10" s="220" customFormat="1" ht="21.95" customHeight="1" x14ac:dyDescent="0.55000000000000004">
      <c r="A17" s="222" t="s">
        <v>294</v>
      </c>
      <c r="B17" s="241" t="s">
        <v>2</v>
      </c>
      <c r="C17" s="496">
        <f>SUM(D17:F17)</f>
        <v>0</v>
      </c>
      <c r="D17" s="255"/>
      <c r="E17" s="255"/>
      <c r="F17" s="255"/>
      <c r="G17" s="544"/>
      <c r="H17" s="589">
        <v>1134000</v>
      </c>
      <c r="I17" s="615">
        <f>H17-C17</f>
        <v>1134000</v>
      </c>
      <c r="J17" s="575"/>
    </row>
    <row r="18" spans="1:10" s="220" customFormat="1" ht="21.95" customHeight="1" x14ac:dyDescent="0.55000000000000004">
      <c r="A18" s="222"/>
      <c r="B18" s="241" t="s">
        <v>3</v>
      </c>
      <c r="C18" s="496"/>
      <c r="D18" s="255"/>
      <c r="E18" s="255"/>
      <c r="F18" s="255"/>
      <c r="G18" s="544"/>
      <c r="H18" s="589"/>
      <c r="I18" s="615">
        <f>H18-C18</f>
        <v>0</v>
      </c>
    </row>
    <row r="19" spans="1:10" s="220" customFormat="1" ht="21.95" customHeight="1" x14ac:dyDescent="0.55000000000000004">
      <c r="A19" s="466" t="s">
        <v>404</v>
      </c>
      <c r="B19" s="245"/>
      <c r="C19" s="497"/>
      <c r="D19" s="443"/>
      <c r="E19" s="443"/>
      <c r="F19" s="443"/>
      <c r="G19" s="544"/>
      <c r="H19" s="589"/>
      <c r="I19" s="615"/>
    </row>
    <row r="20" spans="1:10" s="220" customFormat="1" ht="21.95" customHeight="1" x14ac:dyDescent="0.55000000000000004">
      <c r="A20" s="466" t="s">
        <v>405</v>
      </c>
      <c r="B20" s="245"/>
      <c r="C20" s="497"/>
      <c r="D20" s="443"/>
      <c r="E20" s="443"/>
      <c r="F20" s="443"/>
      <c r="G20" s="544"/>
      <c r="H20" s="589"/>
      <c r="I20" s="615"/>
    </row>
    <row r="21" spans="1:10" s="220" customFormat="1" ht="21.95" customHeight="1" x14ac:dyDescent="0.55000000000000004">
      <c r="A21" s="222" t="s">
        <v>372</v>
      </c>
      <c r="B21" s="245" t="s">
        <v>2</v>
      </c>
      <c r="C21" s="497">
        <f>SUM(D21:F21)</f>
        <v>0</v>
      </c>
      <c r="D21" s="443"/>
      <c r="E21" s="443"/>
      <c r="F21" s="443"/>
      <c r="G21" s="544"/>
      <c r="H21" s="589">
        <v>810000</v>
      </c>
      <c r="I21" s="615">
        <f>H21-C21</f>
        <v>810000</v>
      </c>
    </row>
    <row r="22" spans="1:10" s="220" customFormat="1" ht="21.95" customHeight="1" x14ac:dyDescent="0.55000000000000004">
      <c r="A22" s="222" t="s">
        <v>394</v>
      </c>
      <c r="B22" s="241" t="s">
        <v>3</v>
      </c>
      <c r="C22" s="522"/>
      <c r="D22" s="523"/>
      <c r="E22" s="523"/>
      <c r="F22" s="487"/>
      <c r="G22" s="544"/>
      <c r="H22" s="589"/>
      <c r="I22" s="615">
        <f>H22-C22</f>
        <v>0</v>
      </c>
    </row>
    <row r="23" spans="1:10" ht="21.95" customHeight="1" x14ac:dyDescent="0.55000000000000004">
      <c r="A23" s="206"/>
      <c r="B23" s="241"/>
      <c r="C23" s="243"/>
      <c r="D23" s="247"/>
      <c r="E23" s="247"/>
      <c r="F23" s="247"/>
      <c r="G23" s="240"/>
    </row>
    <row r="24" spans="1:10" ht="21.95" customHeight="1" x14ac:dyDescent="0.55000000000000004">
      <c r="A24" s="466" t="s">
        <v>402</v>
      </c>
      <c r="B24" s="241"/>
      <c r="C24" s="243"/>
      <c r="D24" s="247"/>
      <c r="E24" s="247"/>
      <c r="F24" s="247"/>
      <c r="G24" s="240"/>
    </row>
    <row r="25" spans="1:10" ht="21.95" customHeight="1" x14ac:dyDescent="0.55000000000000004">
      <c r="A25" s="466" t="s">
        <v>403</v>
      </c>
      <c r="B25" s="241"/>
      <c r="C25" s="243"/>
      <c r="D25" s="244"/>
      <c r="E25" s="244"/>
      <c r="F25" s="244"/>
      <c r="G25" s="235"/>
      <c r="I25" s="615">
        <f>H25-C25</f>
        <v>0</v>
      </c>
    </row>
    <row r="26" spans="1:10" s="265" customFormat="1" ht="21.95" customHeight="1" x14ac:dyDescent="0.55000000000000004">
      <c r="A26" s="208" t="s">
        <v>387</v>
      </c>
      <c r="B26" s="241" t="s">
        <v>2</v>
      </c>
      <c r="C26" s="261">
        <f>SUM(D26:F26)</f>
        <v>0</v>
      </c>
      <c r="D26" s="255"/>
      <c r="E26" s="255"/>
      <c r="F26" s="255"/>
      <c r="G26" s="526"/>
      <c r="H26" s="589">
        <v>275600</v>
      </c>
      <c r="I26" s="615">
        <f>H26-C26</f>
        <v>275600</v>
      </c>
    </row>
    <row r="27" spans="1:10" s="265" customFormat="1" ht="21.95" customHeight="1" x14ac:dyDescent="0.55000000000000004">
      <c r="A27" s="117" t="s">
        <v>87</v>
      </c>
      <c r="B27" s="241" t="s">
        <v>3</v>
      </c>
      <c r="C27" s="243"/>
      <c r="D27" s="255"/>
      <c r="E27" s="255"/>
      <c r="F27" s="255"/>
      <c r="G27" s="526"/>
      <c r="H27" s="589"/>
      <c r="I27" s="615">
        <f>H27-C27</f>
        <v>0</v>
      </c>
    </row>
    <row r="28" spans="1:10" ht="21.95" customHeight="1" x14ac:dyDescent="0.55000000000000004">
      <c r="A28" s="223"/>
      <c r="B28" s="236"/>
      <c r="C28" s="450"/>
      <c r="D28" s="452"/>
      <c r="E28" s="452"/>
      <c r="F28" s="452"/>
      <c r="G28" s="240"/>
      <c r="H28" s="589">
        <v>2200</v>
      </c>
      <c r="I28" s="615">
        <f t="shared" ref="I28:I69" si="2">H28-C28</f>
        <v>2200</v>
      </c>
    </row>
    <row r="29" spans="1:10" ht="21" customHeight="1" x14ac:dyDescent="0.55000000000000004">
      <c r="A29" s="195" t="s">
        <v>365</v>
      </c>
      <c r="B29" s="196" t="s">
        <v>2</v>
      </c>
      <c r="C29" s="599">
        <f>SUM(D29:F29)</f>
        <v>0</v>
      </c>
      <c r="D29" s="599">
        <v>0</v>
      </c>
      <c r="E29" s="599">
        <v>0</v>
      </c>
      <c r="F29" s="599">
        <v>0</v>
      </c>
      <c r="G29" s="192"/>
      <c r="I29" s="615"/>
    </row>
    <row r="30" spans="1:10" ht="21" customHeight="1" x14ac:dyDescent="0.55000000000000004">
      <c r="A30" s="495"/>
      <c r="B30" s="196" t="s">
        <v>3</v>
      </c>
      <c r="C30" s="275"/>
      <c r="D30" s="275"/>
      <c r="E30" s="275"/>
      <c r="F30" s="275"/>
      <c r="G30" s="192"/>
      <c r="I30" s="615">
        <f t="shared" ref="I30" si="3">H30-C30</f>
        <v>0</v>
      </c>
    </row>
    <row r="31" spans="1:10" ht="21" customHeight="1" x14ac:dyDescent="0.55000000000000004">
      <c r="A31" s="195" t="s">
        <v>366</v>
      </c>
      <c r="B31" s="196" t="s">
        <v>2</v>
      </c>
      <c r="C31" s="197">
        <f>SUM(D31:F31)</f>
        <v>0</v>
      </c>
      <c r="D31" s="198">
        <f>SUM(D14:D27)</f>
        <v>0</v>
      </c>
      <c r="E31" s="198">
        <f t="shared" ref="E31:F31" si="4">SUM(E14:E27)</f>
        <v>0</v>
      </c>
      <c r="F31" s="198">
        <f t="shared" si="4"/>
        <v>0</v>
      </c>
      <c r="G31" s="240"/>
      <c r="I31" s="615">
        <f t="shared" si="2"/>
        <v>0</v>
      </c>
    </row>
    <row r="32" spans="1:10" ht="21" customHeight="1" x14ac:dyDescent="0.55000000000000004">
      <c r="A32" s="495"/>
      <c r="B32" s="196" t="s">
        <v>3</v>
      </c>
      <c r="C32" s="197"/>
      <c r="D32" s="198"/>
      <c r="E32" s="198"/>
      <c r="F32" s="198"/>
      <c r="G32" s="240"/>
      <c r="I32" s="615">
        <f t="shared" si="2"/>
        <v>0</v>
      </c>
    </row>
    <row r="33" spans="1:9" ht="21" customHeight="1" x14ac:dyDescent="0.55000000000000004">
      <c r="A33" s="673" t="s">
        <v>1</v>
      </c>
      <c r="B33" s="225" t="s">
        <v>2</v>
      </c>
      <c r="C33" s="226">
        <f>C31</f>
        <v>0</v>
      </c>
      <c r="D33" s="226">
        <f>D31</f>
        <v>0</v>
      </c>
      <c r="E33" s="226">
        <f>E31</f>
        <v>0</v>
      </c>
      <c r="F33" s="226">
        <f>F31</f>
        <v>0</v>
      </c>
      <c r="G33" s="240"/>
      <c r="I33" s="615"/>
    </row>
    <row r="34" spans="1:9" ht="21" customHeight="1" x14ac:dyDescent="0.55000000000000004">
      <c r="A34" s="674"/>
      <c r="B34" s="225" t="s">
        <v>3</v>
      </c>
      <c r="C34" s="226"/>
      <c r="D34" s="227"/>
      <c r="E34" s="227"/>
      <c r="F34" s="227"/>
      <c r="G34" s="240"/>
      <c r="I34" s="615">
        <f t="shared" si="2"/>
        <v>0</v>
      </c>
    </row>
    <row r="35" spans="1:9" ht="23.1" customHeight="1" x14ac:dyDescent="0.55000000000000004">
      <c r="A35" s="190" t="s">
        <v>226</v>
      </c>
      <c r="B35" s="216"/>
      <c r="C35" s="217"/>
      <c r="D35" s="218"/>
      <c r="E35" s="218"/>
      <c r="F35" s="218"/>
      <c r="G35" s="240"/>
      <c r="I35" s="615">
        <f t="shared" si="2"/>
        <v>0</v>
      </c>
    </row>
    <row r="36" spans="1:9" ht="21.95" customHeight="1" x14ac:dyDescent="0.55000000000000004">
      <c r="B36" s="216"/>
      <c r="C36" s="217"/>
      <c r="D36" s="217"/>
      <c r="E36" s="217"/>
      <c r="F36" s="217"/>
      <c r="G36" s="219"/>
      <c r="I36" s="615"/>
    </row>
    <row r="37" spans="1:9" s="12" customFormat="1" ht="24" customHeight="1" x14ac:dyDescent="0.55000000000000004">
      <c r="C37" s="617"/>
      <c r="D37" s="618"/>
      <c r="H37" s="589"/>
      <c r="I37" s="615">
        <f t="shared" si="2"/>
        <v>0</v>
      </c>
    </row>
    <row r="38" spans="1:9" s="12" customFormat="1" x14ac:dyDescent="0.55000000000000004">
      <c r="H38" s="619"/>
      <c r="I38" s="618" t="e">
        <f>#REF!+#REF!+#REF!+#REF!+#REF!+#REF!+D28</f>
        <v>#REF!</v>
      </c>
    </row>
    <row r="39" spans="1:9" s="12" customFormat="1" x14ac:dyDescent="0.55000000000000004">
      <c r="H39" s="617"/>
    </row>
    <row r="40" spans="1:9" s="12" customFormat="1" x14ac:dyDescent="0.55000000000000004">
      <c r="C40" s="617"/>
      <c r="H40" s="589"/>
      <c r="I40" s="615">
        <f t="shared" si="2"/>
        <v>0</v>
      </c>
    </row>
    <row r="41" spans="1:9" x14ac:dyDescent="0.55000000000000004">
      <c r="I41" s="615">
        <f t="shared" si="2"/>
        <v>0</v>
      </c>
    </row>
    <row r="42" spans="1:9" x14ac:dyDescent="0.55000000000000004">
      <c r="I42" s="615">
        <f t="shared" si="2"/>
        <v>0</v>
      </c>
    </row>
    <row r="43" spans="1:9" x14ac:dyDescent="0.55000000000000004">
      <c r="I43" s="615">
        <f t="shared" si="2"/>
        <v>0</v>
      </c>
    </row>
    <row r="44" spans="1:9" x14ac:dyDescent="0.55000000000000004">
      <c r="I44" s="615">
        <f t="shared" si="2"/>
        <v>0</v>
      </c>
    </row>
    <row r="45" spans="1:9" x14ac:dyDescent="0.55000000000000004">
      <c r="I45" s="615">
        <f t="shared" si="2"/>
        <v>0</v>
      </c>
    </row>
    <row r="46" spans="1:9" x14ac:dyDescent="0.55000000000000004">
      <c r="I46" s="615">
        <f t="shared" si="2"/>
        <v>0</v>
      </c>
    </row>
    <row r="47" spans="1:9" x14ac:dyDescent="0.55000000000000004">
      <c r="I47" s="615">
        <f t="shared" si="2"/>
        <v>0</v>
      </c>
    </row>
    <row r="48" spans="1:9" x14ac:dyDescent="0.55000000000000004">
      <c r="I48" s="615">
        <f t="shared" si="2"/>
        <v>0</v>
      </c>
    </row>
    <row r="49" spans="9:9" x14ac:dyDescent="0.55000000000000004">
      <c r="I49" s="615">
        <f t="shared" si="2"/>
        <v>0</v>
      </c>
    </row>
    <row r="50" spans="9:9" x14ac:dyDescent="0.55000000000000004">
      <c r="I50" s="615">
        <f t="shared" si="2"/>
        <v>0</v>
      </c>
    </row>
    <row r="51" spans="9:9" x14ac:dyDescent="0.55000000000000004">
      <c r="I51" s="615">
        <f t="shared" si="2"/>
        <v>0</v>
      </c>
    </row>
    <row r="52" spans="9:9" x14ac:dyDescent="0.55000000000000004">
      <c r="I52" s="615">
        <f t="shared" si="2"/>
        <v>0</v>
      </c>
    </row>
    <row r="53" spans="9:9" x14ac:dyDescent="0.55000000000000004">
      <c r="I53" s="615">
        <f t="shared" si="2"/>
        <v>0</v>
      </c>
    </row>
    <row r="54" spans="9:9" x14ac:dyDescent="0.55000000000000004">
      <c r="I54" s="615">
        <f t="shared" si="2"/>
        <v>0</v>
      </c>
    </row>
    <row r="55" spans="9:9" x14ac:dyDescent="0.55000000000000004">
      <c r="I55" s="615">
        <f t="shared" si="2"/>
        <v>0</v>
      </c>
    </row>
    <row r="56" spans="9:9" x14ac:dyDescent="0.55000000000000004">
      <c r="I56" s="615">
        <f t="shared" si="2"/>
        <v>0</v>
      </c>
    </row>
    <row r="57" spans="9:9" x14ac:dyDescent="0.55000000000000004">
      <c r="I57" s="615">
        <f t="shared" si="2"/>
        <v>0</v>
      </c>
    </row>
    <row r="58" spans="9:9" x14ac:dyDescent="0.55000000000000004">
      <c r="I58" s="615">
        <f t="shared" si="2"/>
        <v>0</v>
      </c>
    </row>
    <row r="59" spans="9:9" x14ac:dyDescent="0.55000000000000004">
      <c r="I59" s="615">
        <f t="shared" si="2"/>
        <v>0</v>
      </c>
    </row>
    <row r="60" spans="9:9" x14ac:dyDescent="0.55000000000000004">
      <c r="I60" s="615">
        <f t="shared" si="2"/>
        <v>0</v>
      </c>
    </row>
    <row r="61" spans="9:9" x14ac:dyDescent="0.55000000000000004">
      <c r="I61" s="615">
        <f t="shared" si="2"/>
        <v>0</v>
      </c>
    </row>
    <row r="62" spans="9:9" x14ac:dyDescent="0.55000000000000004">
      <c r="I62" s="615">
        <f t="shared" si="2"/>
        <v>0</v>
      </c>
    </row>
    <row r="63" spans="9:9" x14ac:dyDescent="0.55000000000000004">
      <c r="I63" s="615">
        <f t="shared" si="2"/>
        <v>0</v>
      </c>
    </row>
    <row r="64" spans="9:9" x14ac:dyDescent="0.55000000000000004">
      <c r="I64" s="615">
        <f t="shared" si="2"/>
        <v>0</v>
      </c>
    </row>
    <row r="65" spans="9:9" x14ac:dyDescent="0.55000000000000004">
      <c r="I65" s="615">
        <f t="shared" si="2"/>
        <v>0</v>
      </c>
    </row>
    <row r="66" spans="9:9" x14ac:dyDescent="0.55000000000000004">
      <c r="I66" s="615">
        <f t="shared" si="2"/>
        <v>0</v>
      </c>
    </row>
    <row r="67" spans="9:9" x14ac:dyDescent="0.55000000000000004">
      <c r="I67" s="615">
        <f t="shared" si="2"/>
        <v>0</v>
      </c>
    </row>
    <row r="68" spans="9:9" x14ac:dyDescent="0.55000000000000004">
      <c r="I68" s="615">
        <f t="shared" si="2"/>
        <v>0</v>
      </c>
    </row>
    <row r="69" spans="9:9" x14ac:dyDescent="0.55000000000000004">
      <c r="I69" s="615">
        <f t="shared" si="2"/>
        <v>0</v>
      </c>
    </row>
  </sheetData>
  <mergeCells count="7">
    <mergeCell ref="A33:A34"/>
    <mergeCell ref="A1:F1"/>
    <mergeCell ref="A5:A6"/>
    <mergeCell ref="C5:C6"/>
    <mergeCell ref="D5:D6"/>
    <mergeCell ref="E5:E6"/>
    <mergeCell ref="F5:F6"/>
  </mergeCells>
  <pageMargins left="0.59055118110236227" right="0.39370078740157483" top="0.55118110236220474" bottom="0.19685039370078741" header="0.31496062992125984" footer="0.11811023622047245"/>
  <pageSetup paperSize="9" scale="72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FF00"/>
  </sheetPr>
  <dimension ref="A1:S13"/>
  <sheetViews>
    <sheetView zoomScale="70" zoomScaleNormal="70" workbookViewId="0">
      <selection activeCell="A2" sqref="A2"/>
    </sheetView>
  </sheetViews>
  <sheetFormatPr defaultRowHeight="24" x14ac:dyDescent="0.55000000000000004"/>
  <cols>
    <col min="1" max="5" width="6" style="12" customWidth="1"/>
    <col min="6" max="6" width="6" style="19" customWidth="1"/>
    <col min="7" max="16" width="6" style="12" customWidth="1"/>
    <col min="17" max="17" width="8" style="12" hidden="1" customWidth="1"/>
    <col min="18" max="18" width="166.875" style="13" hidden="1" customWidth="1"/>
    <col min="19" max="19" width="2.375" style="12" hidden="1" customWidth="1"/>
    <col min="20" max="20" width="1.875" style="12" customWidth="1"/>
    <col min="21" max="260" width="9" style="12"/>
    <col min="261" max="261" width="47.375" style="12" customWidth="1"/>
    <col min="262" max="262" width="11.125" style="12" customWidth="1"/>
    <col min="263" max="263" width="12.875" style="12" customWidth="1"/>
    <col min="264" max="264" width="11.125" style="12" customWidth="1"/>
    <col min="265" max="269" width="10.25" style="12" customWidth="1"/>
    <col min="270" max="270" width="12.875" style="12" customWidth="1"/>
    <col min="271" max="272" width="10.25" style="12" customWidth="1"/>
    <col min="273" max="275" width="0" style="12" hidden="1" customWidth="1"/>
    <col min="276" max="516" width="9" style="12"/>
    <col min="517" max="517" width="47.375" style="12" customWidth="1"/>
    <col min="518" max="518" width="11.125" style="12" customWidth="1"/>
    <col min="519" max="519" width="12.875" style="12" customWidth="1"/>
    <col min="520" max="520" width="11.125" style="12" customWidth="1"/>
    <col min="521" max="525" width="10.25" style="12" customWidth="1"/>
    <col min="526" max="526" width="12.875" style="12" customWidth="1"/>
    <col min="527" max="528" width="10.25" style="12" customWidth="1"/>
    <col min="529" max="531" width="0" style="12" hidden="1" customWidth="1"/>
    <col min="532" max="772" width="9" style="12"/>
    <col min="773" max="773" width="47.375" style="12" customWidth="1"/>
    <col min="774" max="774" width="11.125" style="12" customWidth="1"/>
    <col min="775" max="775" width="12.875" style="12" customWidth="1"/>
    <col min="776" max="776" width="11.125" style="12" customWidth="1"/>
    <col min="777" max="781" width="10.25" style="12" customWidth="1"/>
    <col min="782" max="782" width="12.875" style="12" customWidth="1"/>
    <col min="783" max="784" width="10.25" style="12" customWidth="1"/>
    <col min="785" max="787" width="0" style="12" hidden="1" customWidth="1"/>
    <col min="788" max="1028" width="9" style="12"/>
    <col min="1029" max="1029" width="47.375" style="12" customWidth="1"/>
    <col min="1030" max="1030" width="11.125" style="12" customWidth="1"/>
    <col min="1031" max="1031" width="12.875" style="12" customWidth="1"/>
    <col min="1032" max="1032" width="11.125" style="12" customWidth="1"/>
    <col min="1033" max="1037" width="10.25" style="12" customWidth="1"/>
    <col min="1038" max="1038" width="12.875" style="12" customWidth="1"/>
    <col min="1039" max="1040" width="10.25" style="12" customWidth="1"/>
    <col min="1041" max="1043" width="0" style="12" hidden="1" customWidth="1"/>
    <col min="1044" max="1284" width="9" style="12"/>
    <col min="1285" max="1285" width="47.375" style="12" customWidth="1"/>
    <col min="1286" max="1286" width="11.125" style="12" customWidth="1"/>
    <col min="1287" max="1287" width="12.875" style="12" customWidth="1"/>
    <col min="1288" max="1288" width="11.125" style="12" customWidth="1"/>
    <col min="1289" max="1293" width="10.25" style="12" customWidth="1"/>
    <col min="1294" max="1294" width="12.875" style="12" customWidth="1"/>
    <col min="1295" max="1296" width="10.25" style="12" customWidth="1"/>
    <col min="1297" max="1299" width="0" style="12" hidden="1" customWidth="1"/>
    <col min="1300" max="1540" width="9" style="12"/>
    <col min="1541" max="1541" width="47.375" style="12" customWidth="1"/>
    <col min="1542" max="1542" width="11.125" style="12" customWidth="1"/>
    <col min="1543" max="1543" width="12.875" style="12" customWidth="1"/>
    <col min="1544" max="1544" width="11.125" style="12" customWidth="1"/>
    <col min="1545" max="1549" width="10.25" style="12" customWidth="1"/>
    <col min="1550" max="1550" width="12.875" style="12" customWidth="1"/>
    <col min="1551" max="1552" width="10.25" style="12" customWidth="1"/>
    <col min="1553" max="1555" width="0" style="12" hidden="1" customWidth="1"/>
    <col min="1556" max="1796" width="9" style="12"/>
    <col min="1797" max="1797" width="47.375" style="12" customWidth="1"/>
    <col min="1798" max="1798" width="11.125" style="12" customWidth="1"/>
    <col min="1799" max="1799" width="12.875" style="12" customWidth="1"/>
    <col min="1800" max="1800" width="11.125" style="12" customWidth="1"/>
    <col min="1801" max="1805" width="10.25" style="12" customWidth="1"/>
    <col min="1806" max="1806" width="12.875" style="12" customWidth="1"/>
    <col min="1807" max="1808" width="10.25" style="12" customWidth="1"/>
    <col min="1809" max="1811" width="0" style="12" hidden="1" customWidth="1"/>
    <col min="1812" max="2052" width="9" style="12"/>
    <col min="2053" max="2053" width="47.375" style="12" customWidth="1"/>
    <col min="2054" max="2054" width="11.125" style="12" customWidth="1"/>
    <col min="2055" max="2055" width="12.875" style="12" customWidth="1"/>
    <col min="2056" max="2056" width="11.125" style="12" customWidth="1"/>
    <col min="2057" max="2061" width="10.25" style="12" customWidth="1"/>
    <col min="2062" max="2062" width="12.875" style="12" customWidth="1"/>
    <col min="2063" max="2064" width="10.25" style="12" customWidth="1"/>
    <col min="2065" max="2067" width="0" style="12" hidden="1" customWidth="1"/>
    <col min="2068" max="2308" width="9" style="12"/>
    <col min="2309" max="2309" width="47.375" style="12" customWidth="1"/>
    <col min="2310" max="2310" width="11.125" style="12" customWidth="1"/>
    <col min="2311" max="2311" width="12.875" style="12" customWidth="1"/>
    <col min="2312" max="2312" width="11.125" style="12" customWidth="1"/>
    <col min="2313" max="2317" width="10.25" style="12" customWidth="1"/>
    <col min="2318" max="2318" width="12.875" style="12" customWidth="1"/>
    <col min="2319" max="2320" width="10.25" style="12" customWidth="1"/>
    <col min="2321" max="2323" width="0" style="12" hidden="1" customWidth="1"/>
    <col min="2324" max="2564" width="9" style="12"/>
    <col min="2565" max="2565" width="47.375" style="12" customWidth="1"/>
    <col min="2566" max="2566" width="11.125" style="12" customWidth="1"/>
    <col min="2567" max="2567" width="12.875" style="12" customWidth="1"/>
    <col min="2568" max="2568" width="11.125" style="12" customWidth="1"/>
    <col min="2569" max="2573" width="10.25" style="12" customWidth="1"/>
    <col min="2574" max="2574" width="12.875" style="12" customWidth="1"/>
    <col min="2575" max="2576" width="10.25" style="12" customWidth="1"/>
    <col min="2577" max="2579" width="0" style="12" hidden="1" customWidth="1"/>
    <col min="2580" max="2820" width="9" style="12"/>
    <col min="2821" max="2821" width="47.375" style="12" customWidth="1"/>
    <col min="2822" max="2822" width="11.125" style="12" customWidth="1"/>
    <col min="2823" max="2823" width="12.875" style="12" customWidth="1"/>
    <col min="2824" max="2824" width="11.125" style="12" customWidth="1"/>
    <col min="2825" max="2829" width="10.25" style="12" customWidth="1"/>
    <col min="2830" max="2830" width="12.875" style="12" customWidth="1"/>
    <col min="2831" max="2832" width="10.25" style="12" customWidth="1"/>
    <col min="2833" max="2835" width="0" style="12" hidden="1" customWidth="1"/>
    <col min="2836" max="3076" width="9" style="12"/>
    <col min="3077" max="3077" width="47.375" style="12" customWidth="1"/>
    <col min="3078" max="3078" width="11.125" style="12" customWidth="1"/>
    <col min="3079" max="3079" width="12.875" style="12" customWidth="1"/>
    <col min="3080" max="3080" width="11.125" style="12" customWidth="1"/>
    <col min="3081" max="3085" width="10.25" style="12" customWidth="1"/>
    <col min="3086" max="3086" width="12.875" style="12" customWidth="1"/>
    <col min="3087" max="3088" width="10.25" style="12" customWidth="1"/>
    <col min="3089" max="3091" width="0" style="12" hidden="1" customWidth="1"/>
    <col min="3092" max="3332" width="9" style="12"/>
    <col min="3333" max="3333" width="47.375" style="12" customWidth="1"/>
    <col min="3334" max="3334" width="11.125" style="12" customWidth="1"/>
    <col min="3335" max="3335" width="12.875" style="12" customWidth="1"/>
    <col min="3336" max="3336" width="11.125" style="12" customWidth="1"/>
    <col min="3337" max="3341" width="10.25" style="12" customWidth="1"/>
    <col min="3342" max="3342" width="12.875" style="12" customWidth="1"/>
    <col min="3343" max="3344" width="10.25" style="12" customWidth="1"/>
    <col min="3345" max="3347" width="0" style="12" hidden="1" customWidth="1"/>
    <col min="3348" max="3588" width="9" style="12"/>
    <col min="3589" max="3589" width="47.375" style="12" customWidth="1"/>
    <col min="3590" max="3590" width="11.125" style="12" customWidth="1"/>
    <col min="3591" max="3591" width="12.875" style="12" customWidth="1"/>
    <col min="3592" max="3592" width="11.125" style="12" customWidth="1"/>
    <col min="3593" max="3597" width="10.25" style="12" customWidth="1"/>
    <col min="3598" max="3598" width="12.875" style="12" customWidth="1"/>
    <col min="3599" max="3600" width="10.25" style="12" customWidth="1"/>
    <col min="3601" max="3603" width="0" style="12" hidden="1" customWidth="1"/>
    <col min="3604" max="3844" width="9" style="12"/>
    <col min="3845" max="3845" width="47.375" style="12" customWidth="1"/>
    <col min="3846" max="3846" width="11.125" style="12" customWidth="1"/>
    <col min="3847" max="3847" width="12.875" style="12" customWidth="1"/>
    <col min="3848" max="3848" width="11.125" style="12" customWidth="1"/>
    <col min="3849" max="3853" width="10.25" style="12" customWidth="1"/>
    <col min="3854" max="3854" width="12.875" style="12" customWidth="1"/>
    <col min="3855" max="3856" width="10.25" style="12" customWidth="1"/>
    <col min="3857" max="3859" width="0" style="12" hidden="1" customWidth="1"/>
    <col min="3860" max="4100" width="9" style="12"/>
    <col min="4101" max="4101" width="47.375" style="12" customWidth="1"/>
    <col min="4102" max="4102" width="11.125" style="12" customWidth="1"/>
    <col min="4103" max="4103" width="12.875" style="12" customWidth="1"/>
    <col min="4104" max="4104" width="11.125" style="12" customWidth="1"/>
    <col min="4105" max="4109" width="10.25" style="12" customWidth="1"/>
    <col min="4110" max="4110" width="12.875" style="12" customWidth="1"/>
    <col min="4111" max="4112" width="10.25" style="12" customWidth="1"/>
    <col min="4113" max="4115" width="0" style="12" hidden="1" customWidth="1"/>
    <col min="4116" max="4356" width="9" style="12"/>
    <col min="4357" max="4357" width="47.375" style="12" customWidth="1"/>
    <col min="4358" max="4358" width="11.125" style="12" customWidth="1"/>
    <col min="4359" max="4359" width="12.875" style="12" customWidth="1"/>
    <col min="4360" max="4360" width="11.125" style="12" customWidth="1"/>
    <col min="4361" max="4365" width="10.25" style="12" customWidth="1"/>
    <col min="4366" max="4366" width="12.875" style="12" customWidth="1"/>
    <col min="4367" max="4368" width="10.25" style="12" customWidth="1"/>
    <col min="4369" max="4371" width="0" style="12" hidden="1" customWidth="1"/>
    <col min="4372" max="4612" width="9" style="12"/>
    <col min="4613" max="4613" width="47.375" style="12" customWidth="1"/>
    <col min="4614" max="4614" width="11.125" style="12" customWidth="1"/>
    <col min="4615" max="4615" width="12.875" style="12" customWidth="1"/>
    <col min="4616" max="4616" width="11.125" style="12" customWidth="1"/>
    <col min="4617" max="4621" width="10.25" style="12" customWidth="1"/>
    <col min="4622" max="4622" width="12.875" style="12" customWidth="1"/>
    <col min="4623" max="4624" width="10.25" style="12" customWidth="1"/>
    <col min="4625" max="4627" width="0" style="12" hidden="1" customWidth="1"/>
    <col min="4628" max="4868" width="9" style="12"/>
    <col min="4869" max="4869" width="47.375" style="12" customWidth="1"/>
    <col min="4870" max="4870" width="11.125" style="12" customWidth="1"/>
    <col min="4871" max="4871" width="12.875" style="12" customWidth="1"/>
    <col min="4872" max="4872" width="11.125" style="12" customWidth="1"/>
    <col min="4873" max="4877" width="10.25" style="12" customWidth="1"/>
    <col min="4878" max="4878" width="12.875" style="12" customWidth="1"/>
    <col min="4879" max="4880" width="10.25" style="12" customWidth="1"/>
    <col min="4881" max="4883" width="0" style="12" hidden="1" customWidth="1"/>
    <col min="4884" max="5124" width="9" style="12"/>
    <col min="5125" max="5125" width="47.375" style="12" customWidth="1"/>
    <col min="5126" max="5126" width="11.125" style="12" customWidth="1"/>
    <col min="5127" max="5127" width="12.875" style="12" customWidth="1"/>
    <col min="5128" max="5128" width="11.125" style="12" customWidth="1"/>
    <col min="5129" max="5133" width="10.25" style="12" customWidth="1"/>
    <col min="5134" max="5134" width="12.875" style="12" customWidth="1"/>
    <col min="5135" max="5136" width="10.25" style="12" customWidth="1"/>
    <col min="5137" max="5139" width="0" style="12" hidden="1" customWidth="1"/>
    <col min="5140" max="5380" width="9" style="12"/>
    <col min="5381" max="5381" width="47.375" style="12" customWidth="1"/>
    <col min="5382" max="5382" width="11.125" style="12" customWidth="1"/>
    <col min="5383" max="5383" width="12.875" style="12" customWidth="1"/>
    <col min="5384" max="5384" width="11.125" style="12" customWidth="1"/>
    <col min="5385" max="5389" width="10.25" style="12" customWidth="1"/>
    <col min="5390" max="5390" width="12.875" style="12" customWidth="1"/>
    <col min="5391" max="5392" width="10.25" style="12" customWidth="1"/>
    <col min="5393" max="5395" width="0" style="12" hidden="1" customWidth="1"/>
    <col min="5396" max="5636" width="9" style="12"/>
    <col min="5637" max="5637" width="47.375" style="12" customWidth="1"/>
    <col min="5638" max="5638" width="11.125" style="12" customWidth="1"/>
    <col min="5639" max="5639" width="12.875" style="12" customWidth="1"/>
    <col min="5640" max="5640" width="11.125" style="12" customWidth="1"/>
    <col min="5641" max="5645" width="10.25" style="12" customWidth="1"/>
    <col min="5646" max="5646" width="12.875" style="12" customWidth="1"/>
    <col min="5647" max="5648" width="10.25" style="12" customWidth="1"/>
    <col min="5649" max="5651" width="0" style="12" hidden="1" customWidth="1"/>
    <col min="5652" max="5892" width="9" style="12"/>
    <col min="5893" max="5893" width="47.375" style="12" customWidth="1"/>
    <col min="5894" max="5894" width="11.125" style="12" customWidth="1"/>
    <col min="5895" max="5895" width="12.875" style="12" customWidth="1"/>
    <col min="5896" max="5896" width="11.125" style="12" customWidth="1"/>
    <col min="5897" max="5901" width="10.25" style="12" customWidth="1"/>
    <col min="5902" max="5902" width="12.875" style="12" customWidth="1"/>
    <col min="5903" max="5904" width="10.25" style="12" customWidth="1"/>
    <col min="5905" max="5907" width="0" style="12" hidden="1" customWidth="1"/>
    <col min="5908" max="6148" width="9" style="12"/>
    <col min="6149" max="6149" width="47.375" style="12" customWidth="1"/>
    <col min="6150" max="6150" width="11.125" style="12" customWidth="1"/>
    <col min="6151" max="6151" width="12.875" style="12" customWidth="1"/>
    <col min="6152" max="6152" width="11.125" style="12" customWidth="1"/>
    <col min="6153" max="6157" width="10.25" style="12" customWidth="1"/>
    <col min="6158" max="6158" width="12.875" style="12" customWidth="1"/>
    <col min="6159" max="6160" width="10.25" style="12" customWidth="1"/>
    <col min="6161" max="6163" width="0" style="12" hidden="1" customWidth="1"/>
    <col min="6164" max="6404" width="9" style="12"/>
    <col min="6405" max="6405" width="47.375" style="12" customWidth="1"/>
    <col min="6406" max="6406" width="11.125" style="12" customWidth="1"/>
    <col min="6407" max="6407" width="12.875" style="12" customWidth="1"/>
    <col min="6408" max="6408" width="11.125" style="12" customWidth="1"/>
    <col min="6409" max="6413" width="10.25" style="12" customWidth="1"/>
    <col min="6414" max="6414" width="12.875" style="12" customWidth="1"/>
    <col min="6415" max="6416" width="10.25" style="12" customWidth="1"/>
    <col min="6417" max="6419" width="0" style="12" hidden="1" customWidth="1"/>
    <col min="6420" max="6660" width="9" style="12"/>
    <col min="6661" max="6661" width="47.375" style="12" customWidth="1"/>
    <col min="6662" max="6662" width="11.125" style="12" customWidth="1"/>
    <col min="6663" max="6663" width="12.875" style="12" customWidth="1"/>
    <col min="6664" max="6664" width="11.125" style="12" customWidth="1"/>
    <col min="6665" max="6669" width="10.25" style="12" customWidth="1"/>
    <col min="6670" max="6670" width="12.875" style="12" customWidth="1"/>
    <col min="6671" max="6672" width="10.25" style="12" customWidth="1"/>
    <col min="6673" max="6675" width="0" style="12" hidden="1" customWidth="1"/>
    <col min="6676" max="6916" width="9" style="12"/>
    <col min="6917" max="6917" width="47.375" style="12" customWidth="1"/>
    <col min="6918" max="6918" width="11.125" style="12" customWidth="1"/>
    <col min="6919" max="6919" width="12.875" style="12" customWidth="1"/>
    <col min="6920" max="6920" width="11.125" style="12" customWidth="1"/>
    <col min="6921" max="6925" width="10.25" style="12" customWidth="1"/>
    <col min="6926" max="6926" width="12.875" style="12" customWidth="1"/>
    <col min="6927" max="6928" width="10.25" style="12" customWidth="1"/>
    <col min="6929" max="6931" width="0" style="12" hidden="1" customWidth="1"/>
    <col min="6932" max="7172" width="9" style="12"/>
    <col min="7173" max="7173" width="47.375" style="12" customWidth="1"/>
    <col min="7174" max="7174" width="11.125" style="12" customWidth="1"/>
    <col min="7175" max="7175" width="12.875" style="12" customWidth="1"/>
    <col min="7176" max="7176" width="11.125" style="12" customWidth="1"/>
    <col min="7177" max="7181" width="10.25" style="12" customWidth="1"/>
    <col min="7182" max="7182" width="12.875" style="12" customWidth="1"/>
    <col min="7183" max="7184" width="10.25" style="12" customWidth="1"/>
    <col min="7185" max="7187" width="0" style="12" hidden="1" customWidth="1"/>
    <col min="7188" max="7428" width="9" style="12"/>
    <col min="7429" max="7429" width="47.375" style="12" customWidth="1"/>
    <col min="7430" max="7430" width="11.125" style="12" customWidth="1"/>
    <col min="7431" max="7431" width="12.875" style="12" customWidth="1"/>
    <col min="7432" max="7432" width="11.125" style="12" customWidth="1"/>
    <col min="7433" max="7437" width="10.25" style="12" customWidth="1"/>
    <col min="7438" max="7438" width="12.875" style="12" customWidth="1"/>
    <col min="7439" max="7440" width="10.25" style="12" customWidth="1"/>
    <col min="7441" max="7443" width="0" style="12" hidden="1" customWidth="1"/>
    <col min="7444" max="7684" width="9" style="12"/>
    <col min="7685" max="7685" width="47.375" style="12" customWidth="1"/>
    <col min="7686" max="7686" width="11.125" style="12" customWidth="1"/>
    <col min="7687" max="7687" width="12.875" style="12" customWidth="1"/>
    <col min="7688" max="7688" width="11.125" style="12" customWidth="1"/>
    <col min="7689" max="7693" width="10.25" style="12" customWidth="1"/>
    <col min="7694" max="7694" width="12.875" style="12" customWidth="1"/>
    <col min="7695" max="7696" width="10.25" style="12" customWidth="1"/>
    <col min="7697" max="7699" width="0" style="12" hidden="1" customWidth="1"/>
    <col min="7700" max="7940" width="9" style="12"/>
    <col min="7941" max="7941" width="47.375" style="12" customWidth="1"/>
    <col min="7942" max="7942" width="11.125" style="12" customWidth="1"/>
    <col min="7943" max="7943" width="12.875" style="12" customWidth="1"/>
    <col min="7944" max="7944" width="11.125" style="12" customWidth="1"/>
    <col min="7945" max="7949" width="10.25" style="12" customWidth="1"/>
    <col min="7950" max="7950" width="12.875" style="12" customWidth="1"/>
    <col min="7951" max="7952" width="10.25" style="12" customWidth="1"/>
    <col min="7953" max="7955" width="0" style="12" hidden="1" customWidth="1"/>
    <col min="7956" max="8196" width="9" style="12"/>
    <col min="8197" max="8197" width="47.375" style="12" customWidth="1"/>
    <col min="8198" max="8198" width="11.125" style="12" customWidth="1"/>
    <col min="8199" max="8199" width="12.875" style="12" customWidth="1"/>
    <col min="8200" max="8200" width="11.125" style="12" customWidth="1"/>
    <col min="8201" max="8205" width="10.25" style="12" customWidth="1"/>
    <col min="8206" max="8206" width="12.875" style="12" customWidth="1"/>
    <col min="8207" max="8208" width="10.25" style="12" customWidth="1"/>
    <col min="8209" max="8211" width="0" style="12" hidden="1" customWidth="1"/>
    <col min="8212" max="8452" width="9" style="12"/>
    <col min="8453" max="8453" width="47.375" style="12" customWidth="1"/>
    <col min="8454" max="8454" width="11.125" style="12" customWidth="1"/>
    <col min="8455" max="8455" width="12.875" style="12" customWidth="1"/>
    <col min="8456" max="8456" width="11.125" style="12" customWidth="1"/>
    <col min="8457" max="8461" width="10.25" style="12" customWidth="1"/>
    <col min="8462" max="8462" width="12.875" style="12" customWidth="1"/>
    <col min="8463" max="8464" width="10.25" style="12" customWidth="1"/>
    <col min="8465" max="8467" width="0" style="12" hidden="1" customWidth="1"/>
    <col min="8468" max="8708" width="9" style="12"/>
    <col min="8709" max="8709" width="47.375" style="12" customWidth="1"/>
    <col min="8710" max="8710" width="11.125" style="12" customWidth="1"/>
    <col min="8711" max="8711" width="12.875" style="12" customWidth="1"/>
    <col min="8712" max="8712" width="11.125" style="12" customWidth="1"/>
    <col min="8713" max="8717" width="10.25" style="12" customWidth="1"/>
    <col min="8718" max="8718" width="12.875" style="12" customWidth="1"/>
    <col min="8719" max="8720" width="10.25" style="12" customWidth="1"/>
    <col min="8721" max="8723" width="0" style="12" hidden="1" customWidth="1"/>
    <col min="8724" max="8964" width="9" style="12"/>
    <col min="8965" max="8965" width="47.375" style="12" customWidth="1"/>
    <col min="8966" max="8966" width="11.125" style="12" customWidth="1"/>
    <col min="8967" max="8967" width="12.875" style="12" customWidth="1"/>
    <col min="8968" max="8968" width="11.125" style="12" customWidth="1"/>
    <col min="8969" max="8973" width="10.25" style="12" customWidth="1"/>
    <col min="8974" max="8974" width="12.875" style="12" customWidth="1"/>
    <col min="8975" max="8976" width="10.25" style="12" customWidth="1"/>
    <col min="8977" max="8979" width="0" style="12" hidden="1" customWidth="1"/>
    <col min="8980" max="9220" width="9" style="12"/>
    <col min="9221" max="9221" width="47.375" style="12" customWidth="1"/>
    <col min="9222" max="9222" width="11.125" style="12" customWidth="1"/>
    <col min="9223" max="9223" width="12.875" style="12" customWidth="1"/>
    <col min="9224" max="9224" width="11.125" style="12" customWidth="1"/>
    <col min="9225" max="9229" width="10.25" style="12" customWidth="1"/>
    <col min="9230" max="9230" width="12.875" style="12" customWidth="1"/>
    <col min="9231" max="9232" width="10.25" style="12" customWidth="1"/>
    <col min="9233" max="9235" width="0" style="12" hidden="1" customWidth="1"/>
    <col min="9236" max="9476" width="9" style="12"/>
    <col min="9477" max="9477" width="47.375" style="12" customWidth="1"/>
    <col min="9478" max="9478" width="11.125" style="12" customWidth="1"/>
    <col min="9479" max="9479" width="12.875" style="12" customWidth="1"/>
    <col min="9480" max="9480" width="11.125" style="12" customWidth="1"/>
    <col min="9481" max="9485" width="10.25" style="12" customWidth="1"/>
    <col min="9486" max="9486" width="12.875" style="12" customWidth="1"/>
    <col min="9487" max="9488" width="10.25" style="12" customWidth="1"/>
    <col min="9489" max="9491" width="0" style="12" hidden="1" customWidth="1"/>
    <col min="9492" max="9732" width="9" style="12"/>
    <col min="9733" max="9733" width="47.375" style="12" customWidth="1"/>
    <col min="9734" max="9734" width="11.125" style="12" customWidth="1"/>
    <col min="9735" max="9735" width="12.875" style="12" customWidth="1"/>
    <col min="9736" max="9736" width="11.125" style="12" customWidth="1"/>
    <col min="9737" max="9741" width="10.25" style="12" customWidth="1"/>
    <col min="9742" max="9742" width="12.875" style="12" customWidth="1"/>
    <col min="9743" max="9744" width="10.25" style="12" customWidth="1"/>
    <col min="9745" max="9747" width="0" style="12" hidden="1" customWidth="1"/>
    <col min="9748" max="9988" width="9" style="12"/>
    <col min="9989" max="9989" width="47.375" style="12" customWidth="1"/>
    <col min="9990" max="9990" width="11.125" style="12" customWidth="1"/>
    <col min="9991" max="9991" width="12.875" style="12" customWidth="1"/>
    <col min="9992" max="9992" width="11.125" style="12" customWidth="1"/>
    <col min="9993" max="9997" width="10.25" style="12" customWidth="1"/>
    <col min="9998" max="9998" width="12.875" style="12" customWidth="1"/>
    <col min="9999" max="10000" width="10.25" style="12" customWidth="1"/>
    <col min="10001" max="10003" width="0" style="12" hidden="1" customWidth="1"/>
    <col min="10004" max="10244" width="9" style="12"/>
    <col min="10245" max="10245" width="47.375" style="12" customWidth="1"/>
    <col min="10246" max="10246" width="11.125" style="12" customWidth="1"/>
    <col min="10247" max="10247" width="12.875" style="12" customWidth="1"/>
    <col min="10248" max="10248" width="11.125" style="12" customWidth="1"/>
    <col min="10249" max="10253" width="10.25" style="12" customWidth="1"/>
    <col min="10254" max="10254" width="12.875" style="12" customWidth="1"/>
    <col min="10255" max="10256" width="10.25" style="12" customWidth="1"/>
    <col min="10257" max="10259" width="0" style="12" hidden="1" customWidth="1"/>
    <col min="10260" max="10500" width="9" style="12"/>
    <col min="10501" max="10501" width="47.375" style="12" customWidth="1"/>
    <col min="10502" max="10502" width="11.125" style="12" customWidth="1"/>
    <col min="10503" max="10503" width="12.875" style="12" customWidth="1"/>
    <col min="10504" max="10504" width="11.125" style="12" customWidth="1"/>
    <col min="10505" max="10509" width="10.25" style="12" customWidth="1"/>
    <col min="10510" max="10510" width="12.875" style="12" customWidth="1"/>
    <col min="10511" max="10512" width="10.25" style="12" customWidth="1"/>
    <col min="10513" max="10515" width="0" style="12" hidden="1" customWidth="1"/>
    <col min="10516" max="10756" width="9" style="12"/>
    <col min="10757" max="10757" width="47.375" style="12" customWidth="1"/>
    <col min="10758" max="10758" width="11.125" style="12" customWidth="1"/>
    <col min="10759" max="10759" width="12.875" style="12" customWidth="1"/>
    <col min="10760" max="10760" width="11.125" style="12" customWidth="1"/>
    <col min="10761" max="10765" width="10.25" style="12" customWidth="1"/>
    <col min="10766" max="10766" width="12.875" style="12" customWidth="1"/>
    <col min="10767" max="10768" width="10.25" style="12" customWidth="1"/>
    <col min="10769" max="10771" width="0" style="12" hidden="1" customWidth="1"/>
    <col min="10772" max="11012" width="9" style="12"/>
    <col min="11013" max="11013" width="47.375" style="12" customWidth="1"/>
    <col min="11014" max="11014" width="11.125" style="12" customWidth="1"/>
    <col min="11015" max="11015" width="12.875" style="12" customWidth="1"/>
    <col min="11016" max="11016" width="11.125" style="12" customWidth="1"/>
    <col min="11017" max="11021" width="10.25" style="12" customWidth="1"/>
    <col min="11022" max="11022" width="12.875" style="12" customWidth="1"/>
    <col min="11023" max="11024" width="10.25" style="12" customWidth="1"/>
    <col min="11025" max="11027" width="0" style="12" hidden="1" customWidth="1"/>
    <col min="11028" max="11268" width="9" style="12"/>
    <col min="11269" max="11269" width="47.375" style="12" customWidth="1"/>
    <col min="11270" max="11270" width="11.125" style="12" customWidth="1"/>
    <col min="11271" max="11271" width="12.875" style="12" customWidth="1"/>
    <col min="11272" max="11272" width="11.125" style="12" customWidth="1"/>
    <col min="11273" max="11277" width="10.25" style="12" customWidth="1"/>
    <col min="11278" max="11278" width="12.875" style="12" customWidth="1"/>
    <col min="11279" max="11280" width="10.25" style="12" customWidth="1"/>
    <col min="11281" max="11283" width="0" style="12" hidden="1" customWidth="1"/>
    <col min="11284" max="11524" width="9" style="12"/>
    <col min="11525" max="11525" width="47.375" style="12" customWidth="1"/>
    <col min="11526" max="11526" width="11.125" style="12" customWidth="1"/>
    <col min="11527" max="11527" width="12.875" style="12" customWidth="1"/>
    <col min="11528" max="11528" width="11.125" style="12" customWidth="1"/>
    <col min="11529" max="11533" width="10.25" style="12" customWidth="1"/>
    <col min="11534" max="11534" width="12.875" style="12" customWidth="1"/>
    <col min="11535" max="11536" width="10.25" style="12" customWidth="1"/>
    <col min="11537" max="11539" width="0" style="12" hidden="1" customWidth="1"/>
    <col min="11540" max="11780" width="9" style="12"/>
    <col min="11781" max="11781" width="47.375" style="12" customWidth="1"/>
    <col min="11782" max="11782" width="11.125" style="12" customWidth="1"/>
    <col min="11783" max="11783" width="12.875" style="12" customWidth="1"/>
    <col min="11784" max="11784" width="11.125" style="12" customWidth="1"/>
    <col min="11785" max="11789" width="10.25" style="12" customWidth="1"/>
    <col min="11790" max="11790" width="12.875" style="12" customWidth="1"/>
    <col min="11791" max="11792" width="10.25" style="12" customWidth="1"/>
    <col min="11793" max="11795" width="0" style="12" hidden="1" customWidth="1"/>
    <col min="11796" max="12036" width="9" style="12"/>
    <col min="12037" max="12037" width="47.375" style="12" customWidth="1"/>
    <col min="12038" max="12038" width="11.125" style="12" customWidth="1"/>
    <col min="12039" max="12039" width="12.875" style="12" customWidth="1"/>
    <col min="12040" max="12040" width="11.125" style="12" customWidth="1"/>
    <col min="12041" max="12045" width="10.25" style="12" customWidth="1"/>
    <col min="12046" max="12046" width="12.875" style="12" customWidth="1"/>
    <col min="12047" max="12048" width="10.25" style="12" customWidth="1"/>
    <col min="12049" max="12051" width="0" style="12" hidden="1" customWidth="1"/>
    <col min="12052" max="12292" width="9" style="12"/>
    <col min="12293" max="12293" width="47.375" style="12" customWidth="1"/>
    <col min="12294" max="12294" width="11.125" style="12" customWidth="1"/>
    <col min="12295" max="12295" width="12.875" style="12" customWidth="1"/>
    <col min="12296" max="12296" width="11.125" style="12" customWidth="1"/>
    <col min="12297" max="12301" width="10.25" style="12" customWidth="1"/>
    <col min="12302" max="12302" width="12.875" style="12" customWidth="1"/>
    <col min="12303" max="12304" width="10.25" style="12" customWidth="1"/>
    <col min="12305" max="12307" width="0" style="12" hidden="1" customWidth="1"/>
    <col min="12308" max="12548" width="9" style="12"/>
    <col min="12549" max="12549" width="47.375" style="12" customWidth="1"/>
    <col min="12550" max="12550" width="11.125" style="12" customWidth="1"/>
    <col min="12551" max="12551" width="12.875" style="12" customWidth="1"/>
    <col min="12552" max="12552" width="11.125" style="12" customWidth="1"/>
    <col min="12553" max="12557" width="10.25" style="12" customWidth="1"/>
    <col min="12558" max="12558" width="12.875" style="12" customWidth="1"/>
    <col min="12559" max="12560" width="10.25" style="12" customWidth="1"/>
    <col min="12561" max="12563" width="0" style="12" hidden="1" customWidth="1"/>
    <col min="12564" max="12804" width="9" style="12"/>
    <col min="12805" max="12805" width="47.375" style="12" customWidth="1"/>
    <col min="12806" max="12806" width="11.125" style="12" customWidth="1"/>
    <col min="12807" max="12807" width="12.875" style="12" customWidth="1"/>
    <col min="12808" max="12808" width="11.125" style="12" customWidth="1"/>
    <col min="12809" max="12813" width="10.25" style="12" customWidth="1"/>
    <col min="12814" max="12814" width="12.875" style="12" customWidth="1"/>
    <col min="12815" max="12816" width="10.25" style="12" customWidth="1"/>
    <col min="12817" max="12819" width="0" style="12" hidden="1" customWidth="1"/>
    <col min="12820" max="13060" width="9" style="12"/>
    <col min="13061" max="13061" width="47.375" style="12" customWidth="1"/>
    <col min="13062" max="13062" width="11.125" style="12" customWidth="1"/>
    <col min="13063" max="13063" width="12.875" style="12" customWidth="1"/>
    <col min="13064" max="13064" width="11.125" style="12" customWidth="1"/>
    <col min="13065" max="13069" width="10.25" style="12" customWidth="1"/>
    <col min="13070" max="13070" width="12.875" style="12" customWidth="1"/>
    <col min="13071" max="13072" width="10.25" style="12" customWidth="1"/>
    <col min="13073" max="13075" width="0" style="12" hidden="1" customWidth="1"/>
    <col min="13076" max="13316" width="9" style="12"/>
    <col min="13317" max="13317" width="47.375" style="12" customWidth="1"/>
    <col min="13318" max="13318" width="11.125" style="12" customWidth="1"/>
    <col min="13319" max="13319" width="12.875" style="12" customWidth="1"/>
    <col min="13320" max="13320" width="11.125" style="12" customWidth="1"/>
    <col min="13321" max="13325" width="10.25" style="12" customWidth="1"/>
    <col min="13326" max="13326" width="12.875" style="12" customWidth="1"/>
    <col min="13327" max="13328" width="10.25" style="12" customWidth="1"/>
    <col min="13329" max="13331" width="0" style="12" hidden="1" customWidth="1"/>
    <col min="13332" max="13572" width="9" style="12"/>
    <col min="13573" max="13573" width="47.375" style="12" customWidth="1"/>
    <col min="13574" max="13574" width="11.125" style="12" customWidth="1"/>
    <col min="13575" max="13575" width="12.875" style="12" customWidth="1"/>
    <col min="13576" max="13576" width="11.125" style="12" customWidth="1"/>
    <col min="13577" max="13581" width="10.25" style="12" customWidth="1"/>
    <col min="13582" max="13582" width="12.875" style="12" customWidth="1"/>
    <col min="13583" max="13584" width="10.25" style="12" customWidth="1"/>
    <col min="13585" max="13587" width="0" style="12" hidden="1" customWidth="1"/>
    <col min="13588" max="13828" width="9" style="12"/>
    <col min="13829" max="13829" width="47.375" style="12" customWidth="1"/>
    <col min="13830" max="13830" width="11.125" style="12" customWidth="1"/>
    <col min="13831" max="13831" width="12.875" style="12" customWidth="1"/>
    <col min="13832" max="13832" width="11.125" style="12" customWidth="1"/>
    <col min="13833" max="13837" width="10.25" style="12" customWidth="1"/>
    <col min="13838" max="13838" width="12.875" style="12" customWidth="1"/>
    <col min="13839" max="13840" width="10.25" style="12" customWidth="1"/>
    <col min="13841" max="13843" width="0" style="12" hidden="1" customWidth="1"/>
    <col min="13844" max="14084" width="9" style="12"/>
    <col min="14085" max="14085" width="47.375" style="12" customWidth="1"/>
    <col min="14086" max="14086" width="11.125" style="12" customWidth="1"/>
    <col min="14087" max="14087" width="12.875" style="12" customWidth="1"/>
    <col min="14088" max="14088" width="11.125" style="12" customWidth="1"/>
    <col min="14089" max="14093" width="10.25" style="12" customWidth="1"/>
    <col min="14094" max="14094" width="12.875" style="12" customWidth="1"/>
    <col min="14095" max="14096" width="10.25" style="12" customWidth="1"/>
    <col min="14097" max="14099" width="0" style="12" hidden="1" customWidth="1"/>
    <col min="14100" max="14340" width="9" style="12"/>
    <col min="14341" max="14341" width="47.375" style="12" customWidth="1"/>
    <col min="14342" max="14342" width="11.125" style="12" customWidth="1"/>
    <col min="14343" max="14343" width="12.875" style="12" customWidth="1"/>
    <col min="14344" max="14344" width="11.125" style="12" customWidth="1"/>
    <col min="14345" max="14349" width="10.25" style="12" customWidth="1"/>
    <col min="14350" max="14350" width="12.875" style="12" customWidth="1"/>
    <col min="14351" max="14352" width="10.25" style="12" customWidth="1"/>
    <col min="14353" max="14355" width="0" style="12" hidden="1" customWidth="1"/>
    <col min="14356" max="14596" width="9" style="12"/>
    <col min="14597" max="14597" width="47.375" style="12" customWidth="1"/>
    <col min="14598" max="14598" width="11.125" style="12" customWidth="1"/>
    <col min="14599" max="14599" width="12.875" style="12" customWidth="1"/>
    <col min="14600" max="14600" width="11.125" style="12" customWidth="1"/>
    <col min="14601" max="14605" width="10.25" style="12" customWidth="1"/>
    <col min="14606" max="14606" width="12.875" style="12" customWidth="1"/>
    <col min="14607" max="14608" width="10.25" style="12" customWidth="1"/>
    <col min="14609" max="14611" width="0" style="12" hidden="1" customWidth="1"/>
    <col min="14612" max="14852" width="9" style="12"/>
    <col min="14853" max="14853" width="47.375" style="12" customWidth="1"/>
    <col min="14854" max="14854" width="11.125" style="12" customWidth="1"/>
    <col min="14855" max="14855" width="12.875" style="12" customWidth="1"/>
    <col min="14856" max="14856" width="11.125" style="12" customWidth="1"/>
    <col min="14857" max="14861" width="10.25" style="12" customWidth="1"/>
    <col min="14862" max="14862" width="12.875" style="12" customWidth="1"/>
    <col min="14863" max="14864" width="10.25" style="12" customWidth="1"/>
    <col min="14865" max="14867" width="0" style="12" hidden="1" customWidth="1"/>
    <col min="14868" max="15108" width="9" style="12"/>
    <col min="15109" max="15109" width="47.375" style="12" customWidth="1"/>
    <col min="15110" max="15110" width="11.125" style="12" customWidth="1"/>
    <col min="15111" max="15111" width="12.875" style="12" customWidth="1"/>
    <col min="15112" max="15112" width="11.125" style="12" customWidth="1"/>
    <col min="15113" max="15117" width="10.25" style="12" customWidth="1"/>
    <col min="15118" max="15118" width="12.875" style="12" customWidth="1"/>
    <col min="15119" max="15120" width="10.25" style="12" customWidth="1"/>
    <col min="15121" max="15123" width="0" style="12" hidden="1" customWidth="1"/>
    <col min="15124" max="15364" width="9" style="12"/>
    <col min="15365" max="15365" width="47.375" style="12" customWidth="1"/>
    <col min="15366" max="15366" width="11.125" style="12" customWidth="1"/>
    <col min="15367" max="15367" width="12.875" style="12" customWidth="1"/>
    <col min="15368" max="15368" width="11.125" style="12" customWidth="1"/>
    <col min="15369" max="15373" width="10.25" style="12" customWidth="1"/>
    <col min="15374" max="15374" width="12.875" style="12" customWidth="1"/>
    <col min="15375" max="15376" width="10.25" style="12" customWidth="1"/>
    <col min="15377" max="15379" width="0" style="12" hidden="1" customWidth="1"/>
    <col min="15380" max="15620" width="9" style="12"/>
    <col min="15621" max="15621" width="47.375" style="12" customWidth="1"/>
    <col min="15622" max="15622" width="11.125" style="12" customWidth="1"/>
    <col min="15623" max="15623" width="12.875" style="12" customWidth="1"/>
    <col min="15624" max="15624" width="11.125" style="12" customWidth="1"/>
    <col min="15625" max="15629" width="10.25" style="12" customWidth="1"/>
    <col min="15630" max="15630" width="12.875" style="12" customWidth="1"/>
    <col min="15631" max="15632" width="10.25" style="12" customWidth="1"/>
    <col min="15633" max="15635" width="0" style="12" hidden="1" customWidth="1"/>
    <col min="15636" max="15876" width="9" style="12"/>
    <col min="15877" max="15877" width="47.375" style="12" customWidth="1"/>
    <col min="15878" max="15878" width="11.125" style="12" customWidth="1"/>
    <col min="15879" max="15879" width="12.875" style="12" customWidth="1"/>
    <col min="15880" max="15880" width="11.125" style="12" customWidth="1"/>
    <col min="15881" max="15885" width="10.25" style="12" customWidth="1"/>
    <col min="15886" max="15886" width="12.875" style="12" customWidth="1"/>
    <col min="15887" max="15888" width="10.25" style="12" customWidth="1"/>
    <col min="15889" max="15891" width="0" style="12" hidden="1" customWidth="1"/>
    <col min="15892" max="16132" width="9" style="12"/>
    <col min="16133" max="16133" width="47.375" style="12" customWidth="1"/>
    <col min="16134" max="16134" width="11.125" style="12" customWidth="1"/>
    <col min="16135" max="16135" width="12.875" style="12" customWidth="1"/>
    <col min="16136" max="16136" width="11.125" style="12" customWidth="1"/>
    <col min="16137" max="16141" width="10.25" style="12" customWidth="1"/>
    <col min="16142" max="16142" width="12.875" style="12" customWidth="1"/>
    <col min="16143" max="16144" width="10.25" style="12" customWidth="1"/>
    <col min="16145" max="16147" width="0" style="12" hidden="1" customWidth="1"/>
    <col min="16148" max="16384" width="9" style="12"/>
  </cols>
  <sheetData>
    <row r="1" spans="1:16" x14ac:dyDescent="0.55000000000000004">
      <c r="A1" s="695" t="s">
        <v>412</v>
      </c>
      <c r="B1" s="695"/>
      <c r="C1" s="695"/>
      <c r="D1" s="695"/>
      <c r="E1" s="695"/>
      <c r="F1" s="695"/>
      <c r="G1" s="695"/>
      <c r="H1" s="695"/>
      <c r="I1" s="695"/>
      <c r="J1" s="695"/>
      <c r="K1" s="695"/>
      <c r="L1" s="695"/>
      <c r="M1" s="695"/>
      <c r="N1" s="695"/>
      <c r="O1" s="695"/>
      <c r="P1" s="695"/>
    </row>
    <row r="2" spans="1:16" x14ac:dyDescent="0.55000000000000004">
      <c r="A2" s="20"/>
      <c r="B2" s="20"/>
      <c r="C2" s="20"/>
      <c r="D2" s="20"/>
      <c r="E2" s="20"/>
      <c r="F2" s="20"/>
      <c r="G2" s="20"/>
      <c r="H2" s="20"/>
      <c r="I2" s="20"/>
      <c r="K2" s="20"/>
      <c r="L2" s="20"/>
      <c r="M2" s="20"/>
      <c r="N2" s="20"/>
      <c r="O2" s="20"/>
      <c r="P2" s="20"/>
    </row>
    <row r="3" spans="1:16" ht="54.75" customHeight="1" x14ac:dyDescent="0.55000000000000004">
      <c r="A3" s="692" t="s">
        <v>236</v>
      </c>
      <c r="B3" s="693"/>
      <c r="C3" s="693"/>
      <c r="D3" s="693"/>
      <c r="E3" s="693"/>
      <c r="F3" s="693"/>
      <c r="G3" s="693"/>
      <c r="H3" s="694"/>
      <c r="I3" s="692" t="s">
        <v>237</v>
      </c>
      <c r="J3" s="693"/>
      <c r="K3" s="693"/>
      <c r="L3" s="693"/>
      <c r="M3" s="693"/>
      <c r="N3" s="693"/>
      <c r="O3" s="693"/>
      <c r="P3" s="694"/>
    </row>
    <row r="4" spans="1:16" x14ac:dyDescent="0.55000000000000004">
      <c r="A4" s="686" t="s">
        <v>246</v>
      </c>
      <c r="B4" s="687"/>
      <c r="C4" s="687"/>
      <c r="D4" s="687"/>
      <c r="E4" s="687"/>
      <c r="F4" s="687"/>
      <c r="G4" s="687"/>
      <c r="H4" s="688"/>
      <c r="I4" s="696" t="s">
        <v>245</v>
      </c>
      <c r="J4" s="697"/>
      <c r="K4" s="697"/>
      <c r="L4" s="697"/>
      <c r="M4" s="697"/>
      <c r="N4" s="697"/>
      <c r="O4" s="697"/>
      <c r="P4" s="698"/>
    </row>
    <row r="5" spans="1:16" ht="88.5" customHeight="1" x14ac:dyDescent="0.55000000000000004">
      <c r="A5" s="680" t="s">
        <v>8</v>
      </c>
      <c r="B5" s="681"/>
      <c r="C5" s="681"/>
      <c r="D5" s="681"/>
      <c r="E5" s="681"/>
      <c r="F5" s="681"/>
      <c r="G5" s="681"/>
      <c r="H5" s="682"/>
      <c r="I5" s="686" t="s">
        <v>8</v>
      </c>
      <c r="J5" s="687"/>
      <c r="K5" s="687"/>
      <c r="L5" s="687"/>
      <c r="M5" s="687"/>
      <c r="N5" s="687"/>
      <c r="O5" s="687"/>
      <c r="P5" s="688"/>
    </row>
    <row r="6" spans="1:16" x14ac:dyDescent="0.55000000000000004">
      <c r="A6" s="683" t="s">
        <v>395</v>
      </c>
      <c r="B6" s="684"/>
      <c r="C6" s="684"/>
      <c r="D6" s="684"/>
      <c r="E6" s="684"/>
      <c r="F6" s="684"/>
      <c r="G6" s="684"/>
      <c r="H6" s="685"/>
      <c r="I6" s="683" t="s">
        <v>243</v>
      </c>
      <c r="J6" s="684"/>
      <c r="K6" s="684"/>
      <c r="L6" s="684"/>
      <c r="M6" s="684"/>
      <c r="N6" s="684"/>
      <c r="O6" s="684"/>
      <c r="P6" s="685"/>
    </row>
    <row r="7" spans="1:16" x14ac:dyDescent="0.55000000000000004">
      <c r="A7" s="319"/>
      <c r="B7" s="320"/>
      <c r="C7" s="320"/>
      <c r="D7" s="320"/>
      <c r="E7" s="320"/>
      <c r="F7" s="14"/>
      <c r="G7" s="15"/>
      <c r="H7" s="15"/>
      <c r="I7" s="15"/>
      <c r="J7" s="15"/>
      <c r="K7" s="15"/>
      <c r="L7" s="15"/>
      <c r="M7" s="15"/>
      <c r="N7" s="15"/>
      <c r="O7" s="15"/>
      <c r="P7" s="16"/>
    </row>
    <row r="8" spans="1:16" x14ac:dyDescent="0.55000000000000004">
      <c r="A8" s="17"/>
      <c r="P8" s="18"/>
    </row>
    <row r="9" spans="1:16" x14ac:dyDescent="0.55000000000000004">
      <c r="A9" s="699"/>
      <c r="B9" s="700"/>
      <c r="C9" s="700"/>
      <c r="D9" s="700"/>
      <c r="E9" s="700"/>
      <c r="F9" s="700"/>
      <c r="G9" s="700"/>
      <c r="H9" s="700"/>
      <c r="I9" s="700"/>
      <c r="J9" s="700"/>
      <c r="K9" s="700"/>
      <c r="L9" s="700"/>
      <c r="M9" s="700"/>
      <c r="N9" s="700"/>
      <c r="O9" s="700"/>
      <c r="P9" s="701"/>
    </row>
    <row r="10" spans="1:16" ht="54.75" customHeight="1" x14ac:dyDescent="0.55000000000000004">
      <c r="A10" s="692" t="s">
        <v>238</v>
      </c>
      <c r="B10" s="693"/>
      <c r="C10" s="693"/>
      <c r="D10" s="693"/>
      <c r="E10" s="693"/>
      <c r="F10" s="693"/>
      <c r="G10" s="693"/>
      <c r="H10" s="694"/>
      <c r="I10" s="692" t="s">
        <v>239</v>
      </c>
      <c r="J10" s="693"/>
      <c r="K10" s="693"/>
      <c r="L10" s="693"/>
      <c r="M10" s="693"/>
      <c r="N10" s="693"/>
      <c r="O10" s="693"/>
      <c r="P10" s="694"/>
    </row>
    <row r="11" spans="1:16" x14ac:dyDescent="0.55000000000000004">
      <c r="A11" s="686" t="s">
        <v>244</v>
      </c>
      <c r="B11" s="687"/>
      <c r="C11" s="687"/>
      <c r="D11" s="687"/>
      <c r="E11" s="687"/>
      <c r="F11" s="687"/>
      <c r="G11" s="687"/>
      <c r="H11" s="688"/>
      <c r="I11" s="689" t="s">
        <v>240</v>
      </c>
      <c r="J11" s="690"/>
      <c r="K11" s="690"/>
      <c r="L11" s="690"/>
      <c r="M11" s="690"/>
      <c r="N11" s="690"/>
      <c r="O11" s="690"/>
      <c r="P11" s="691"/>
    </row>
    <row r="12" spans="1:16" ht="88.5" customHeight="1" x14ac:dyDescent="0.55000000000000004">
      <c r="A12" s="680" t="s">
        <v>8</v>
      </c>
      <c r="B12" s="681"/>
      <c r="C12" s="681"/>
      <c r="D12" s="681"/>
      <c r="E12" s="681"/>
      <c r="F12" s="681"/>
      <c r="G12" s="681"/>
      <c r="H12" s="682"/>
      <c r="I12" s="680" t="s">
        <v>8</v>
      </c>
      <c r="J12" s="681"/>
      <c r="K12" s="681"/>
      <c r="L12" s="681"/>
      <c r="M12" s="681"/>
      <c r="N12" s="681"/>
      <c r="O12" s="681"/>
      <c r="P12" s="682"/>
    </row>
    <row r="13" spans="1:16" x14ac:dyDescent="0.55000000000000004">
      <c r="A13" s="683" t="s">
        <v>241</v>
      </c>
      <c r="B13" s="684"/>
      <c r="C13" s="684"/>
      <c r="D13" s="684"/>
      <c r="E13" s="684"/>
      <c r="F13" s="684"/>
      <c r="G13" s="684"/>
      <c r="H13" s="685"/>
      <c r="I13" s="683" t="s">
        <v>242</v>
      </c>
      <c r="J13" s="684"/>
      <c r="K13" s="684"/>
      <c r="L13" s="684"/>
      <c r="M13" s="684"/>
      <c r="N13" s="684"/>
      <c r="O13" s="684"/>
      <c r="P13" s="685"/>
    </row>
  </sheetData>
  <mergeCells count="18">
    <mergeCell ref="A10:H10"/>
    <mergeCell ref="I10:P10"/>
    <mergeCell ref="A1:P1"/>
    <mergeCell ref="A3:H3"/>
    <mergeCell ref="I3:P3"/>
    <mergeCell ref="A4:H4"/>
    <mergeCell ref="I4:P4"/>
    <mergeCell ref="A5:H5"/>
    <mergeCell ref="I5:P5"/>
    <mergeCell ref="A6:H6"/>
    <mergeCell ref="I6:P6"/>
    <mergeCell ref="A9:P9"/>
    <mergeCell ref="A12:H12"/>
    <mergeCell ref="I12:P12"/>
    <mergeCell ref="A13:H13"/>
    <mergeCell ref="I13:P13"/>
    <mergeCell ref="A11:H11"/>
    <mergeCell ref="I11:P11"/>
  </mergeCells>
  <pageMargins left="0.78740157480314965" right="0.47244094488188981" top="0.98425196850393704" bottom="0.39370078740157483" header="0.31496062992125984" footer="0.31496062992125984"/>
  <pageSetup paperSize="9" scale="85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E26"/>
  <sheetViews>
    <sheetView workbookViewId="0">
      <selection activeCell="A31" sqref="A31"/>
    </sheetView>
  </sheetViews>
  <sheetFormatPr defaultColWidth="9" defaultRowHeight="24" outlineLevelRow="1" x14ac:dyDescent="0.2"/>
  <cols>
    <col min="1" max="1" width="59.875" style="1" customWidth="1"/>
    <col min="2" max="5" width="24.25" style="1" customWidth="1"/>
    <col min="6" max="16384" width="9" style="1"/>
  </cols>
  <sheetData>
    <row r="1" spans="1:5" x14ac:dyDescent="0.2">
      <c r="A1" s="702" t="s">
        <v>31</v>
      </c>
      <c r="B1" s="702"/>
      <c r="C1" s="702"/>
      <c r="D1" s="702"/>
      <c r="E1" s="702"/>
    </row>
    <row r="2" spans="1:5" x14ac:dyDescent="0.2">
      <c r="A2" s="702" t="s">
        <v>54</v>
      </c>
      <c r="B2" s="702"/>
      <c r="C2" s="702"/>
      <c r="D2" s="702"/>
      <c r="E2" s="702"/>
    </row>
    <row r="3" spans="1:5" ht="19.5" customHeight="1" x14ac:dyDescent="0.2">
      <c r="E3" s="2" t="s">
        <v>14</v>
      </c>
    </row>
    <row r="4" spans="1:5" ht="19.5" customHeight="1" x14ac:dyDescent="0.2">
      <c r="E4" s="2"/>
    </row>
    <row r="5" spans="1:5" ht="24" customHeight="1" x14ac:dyDescent="0.2">
      <c r="A5" s="703" t="s">
        <v>12</v>
      </c>
      <c r="B5" s="25" t="s">
        <v>1</v>
      </c>
      <c r="C5" s="76" t="s">
        <v>32</v>
      </c>
      <c r="D5" s="76" t="s">
        <v>33</v>
      </c>
      <c r="E5" s="76" t="s">
        <v>34</v>
      </c>
    </row>
    <row r="6" spans="1:5" x14ac:dyDescent="0.2">
      <c r="A6" s="703"/>
      <c r="B6" s="25" t="s">
        <v>2</v>
      </c>
      <c r="C6" s="25" t="s">
        <v>2</v>
      </c>
      <c r="D6" s="25" t="s">
        <v>2</v>
      </c>
      <c r="E6" s="25" t="s">
        <v>2</v>
      </c>
    </row>
    <row r="7" spans="1:5" s="24" customFormat="1" x14ac:dyDescent="0.2">
      <c r="A7" s="4" t="s">
        <v>50</v>
      </c>
      <c r="B7" s="77" t="e">
        <f>B8</f>
        <v>#REF!</v>
      </c>
      <c r="C7" s="77" t="e">
        <f t="shared" ref="C7:E8" si="0">C8</f>
        <v>#REF!</v>
      </c>
      <c r="D7" s="77" t="e">
        <f t="shared" si="0"/>
        <v>#REF!</v>
      </c>
      <c r="E7" s="77" t="e">
        <f t="shared" si="0"/>
        <v>#REF!</v>
      </c>
    </row>
    <row r="8" spans="1:5" s="24" customFormat="1" x14ac:dyDescent="0.2">
      <c r="A8" s="81" t="s">
        <v>39</v>
      </c>
      <c r="B8" s="82" t="e">
        <f>B9</f>
        <v>#REF!</v>
      </c>
      <c r="C8" s="82" t="e">
        <f t="shared" si="0"/>
        <v>#REF!</v>
      </c>
      <c r="D8" s="82" t="e">
        <f t="shared" si="0"/>
        <v>#REF!</v>
      </c>
      <c r="E8" s="82" t="e">
        <f t="shared" si="0"/>
        <v>#REF!</v>
      </c>
    </row>
    <row r="9" spans="1:5" s="24" customFormat="1" x14ac:dyDescent="0.2">
      <c r="A9" s="6" t="s">
        <v>40</v>
      </c>
      <c r="B9" s="50" t="e">
        <f>SUM(B10:B17)</f>
        <v>#REF!</v>
      </c>
      <c r="C9" s="50" t="e">
        <f t="shared" ref="C9:E9" si="1">SUM(C10:C17)</f>
        <v>#REF!</v>
      </c>
      <c r="D9" s="50" t="e">
        <f t="shared" si="1"/>
        <v>#REF!</v>
      </c>
      <c r="E9" s="50" t="e">
        <f t="shared" si="1"/>
        <v>#REF!</v>
      </c>
    </row>
    <row r="10" spans="1:5" x14ac:dyDescent="0.2">
      <c r="A10" s="74" t="s">
        <v>48</v>
      </c>
      <c r="B10" s="52" t="e">
        <f>SUM(C10:E10)</f>
        <v>#REF!</v>
      </c>
      <c r="C10" s="52" t="e">
        <f>'สงม. 2 ปกครอง'!#REF!</f>
        <v>#REF!</v>
      </c>
      <c r="D10" s="52" t="e">
        <f>'สงม. 2 ปกครอง'!#REF!</f>
        <v>#REF!</v>
      </c>
      <c r="E10" s="52" t="e">
        <f>'สงม. 2 ปกครอง'!#REF!</f>
        <v>#REF!</v>
      </c>
    </row>
    <row r="11" spans="1:5" hidden="1" outlineLevel="1" x14ac:dyDescent="0.2">
      <c r="A11" s="74" t="s">
        <v>49</v>
      </c>
      <c r="B11" s="52"/>
      <c r="C11" s="52"/>
      <c r="D11" s="52"/>
      <c r="E11" s="52"/>
    </row>
    <row r="12" spans="1:5" hidden="1" outlineLevel="1" x14ac:dyDescent="0.2">
      <c r="A12" s="75"/>
      <c r="B12" s="52"/>
      <c r="C12" s="52"/>
      <c r="D12" s="52"/>
      <c r="E12" s="52"/>
    </row>
    <row r="13" spans="1:5" hidden="1" outlineLevel="1" x14ac:dyDescent="0.2">
      <c r="A13" s="75"/>
      <c r="B13" s="52"/>
      <c r="C13" s="52"/>
      <c r="D13" s="52"/>
      <c r="E13" s="52"/>
    </row>
    <row r="14" spans="1:5" hidden="1" outlineLevel="1" x14ac:dyDescent="0.2">
      <c r="A14" s="75"/>
      <c r="B14" s="52"/>
      <c r="C14" s="52"/>
      <c r="D14" s="52"/>
      <c r="E14" s="52"/>
    </row>
    <row r="15" spans="1:5" hidden="1" outlineLevel="1" x14ac:dyDescent="0.2">
      <c r="A15" s="75"/>
      <c r="B15" s="52"/>
      <c r="C15" s="52"/>
      <c r="D15" s="52"/>
      <c r="E15" s="52"/>
    </row>
    <row r="16" spans="1:5" hidden="1" outlineLevel="1" x14ac:dyDescent="0.2">
      <c r="A16" s="75"/>
      <c r="B16" s="52"/>
      <c r="C16" s="52"/>
      <c r="D16" s="52"/>
      <c r="E16" s="52"/>
    </row>
    <row r="17" spans="1:5" outlineLevel="1" x14ac:dyDescent="0.2">
      <c r="A17" s="74" t="s">
        <v>49</v>
      </c>
      <c r="B17" s="52" t="e">
        <f>SUM(C17:E17)</f>
        <v>#REF!</v>
      </c>
      <c r="C17" s="52" t="e">
        <f>'สงม. 2 ปกครอง'!#REF!</f>
        <v>#REF!</v>
      </c>
      <c r="D17" s="52" t="e">
        <f>'สงม. 2 ปกครอง'!#REF!</f>
        <v>#REF!</v>
      </c>
      <c r="E17" s="52" t="e">
        <f>'สงม. 2 ปกครอง'!#REF!</f>
        <v>#REF!</v>
      </c>
    </row>
    <row r="18" spans="1:5" outlineLevel="1" x14ac:dyDescent="0.2">
      <c r="A18" s="4" t="s">
        <v>52</v>
      </c>
      <c r="B18" s="80">
        <f>B19</f>
        <v>5781130</v>
      </c>
      <c r="C18" s="80">
        <f t="shared" ref="C18:E18" si="2">C19</f>
        <v>2041680</v>
      </c>
      <c r="D18" s="80">
        <f t="shared" si="2"/>
        <v>1872680</v>
      </c>
      <c r="E18" s="80">
        <f t="shared" si="2"/>
        <v>1866770</v>
      </c>
    </row>
    <row r="19" spans="1:5" outlineLevel="1" x14ac:dyDescent="0.2">
      <c r="A19" s="81" t="s">
        <v>39</v>
      </c>
      <c r="B19" s="83">
        <f>B20</f>
        <v>5781130</v>
      </c>
      <c r="C19" s="83">
        <f t="shared" ref="C19:E19" si="3">C20</f>
        <v>2041680</v>
      </c>
      <c r="D19" s="83">
        <f t="shared" si="3"/>
        <v>1872680</v>
      </c>
      <c r="E19" s="83">
        <f t="shared" si="3"/>
        <v>1866770</v>
      </c>
    </row>
    <row r="20" spans="1:5" outlineLevel="1" x14ac:dyDescent="0.2">
      <c r="A20" s="6" t="s">
        <v>46</v>
      </c>
      <c r="B20" s="79">
        <f>SUM(C20:E20)</f>
        <v>5781130</v>
      </c>
      <c r="C20" s="79">
        <f>SUM(C21:C23)</f>
        <v>2041680</v>
      </c>
      <c r="D20" s="79">
        <f t="shared" ref="D20:E20" si="4">SUM(D21:D23)</f>
        <v>1872680</v>
      </c>
      <c r="E20" s="79">
        <f t="shared" si="4"/>
        <v>1866770</v>
      </c>
    </row>
    <row r="21" spans="1:5" outlineLevel="1" x14ac:dyDescent="0.2">
      <c r="A21" s="74" t="s">
        <v>48</v>
      </c>
      <c r="B21" s="52" t="e">
        <f>SUM(B17:B20)</f>
        <v>#REF!</v>
      </c>
      <c r="C21" s="52">
        <f>'สงม. 2งบประมาณ'!E11</f>
        <v>1680</v>
      </c>
      <c r="D21" s="52">
        <f>'สงม. 2งบประมาณ'!F11</f>
        <v>1680</v>
      </c>
      <c r="E21" s="52">
        <f>'สงม. 2งบประมาณ'!G11</f>
        <v>0</v>
      </c>
    </row>
    <row r="22" spans="1:5" outlineLevel="1" x14ac:dyDescent="0.2">
      <c r="A22" s="74" t="s">
        <v>49</v>
      </c>
      <c r="B22" s="52" t="e">
        <f>SUM(B18:B21)</f>
        <v>#REF!</v>
      </c>
      <c r="C22" s="52">
        <f>'สงม. 2งบประมาณ'!D15</f>
        <v>1952000</v>
      </c>
      <c r="D22" s="52">
        <f>'สงม. 2งบประมาณ'!E15</f>
        <v>1871000</v>
      </c>
      <c r="E22" s="52">
        <f>'สงม. 2งบประมาณ'!F15</f>
        <v>1866770</v>
      </c>
    </row>
    <row r="23" spans="1:5" outlineLevel="1" x14ac:dyDescent="0.2">
      <c r="A23" s="74" t="s">
        <v>53</v>
      </c>
      <c r="B23" s="52" t="e">
        <f t="shared" ref="B23" si="5">SUM(B20:B22)</f>
        <v>#REF!</v>
      </c>
      <c r="C23" s="52">
        <f>'สงม. 2งบประมาณ'!D28</f>
        <v>88000</v>
      </c>
      <c r="D23" s="52">
        <f>'สงม. 2งบประมาณ'!E28</f>
        <v>0</v>
      </c>
      <c r="E23" s="52">
        <f>'สงม. 2งบประมาณ'!F28</f>
        <v>0</v>
      </c>
    </row>
    <row r="24" spans="1:5" s="24" customFormat="1" outlineLevel="1" x14ac:dyDescent="0.2">
      <c r="A24" s="7" t="s">
        <v>47</v>
      </c>
      <c r="B24" s="77" t="e">
        <f>B8+B19</f>
        <v>#REF!</v>
      </c>
      <c r="C24" s="77" t="e">
        <f t="shared" ref="C24:E24" si="6">C8+C19</f>
        <v>#REF!</v>
      </c>
      <c r="D24" s="77" t="e">
        <f t="shared" si="6"/>
        <v>#REF!</v>
      </c>
      <c r="E24" s="77" t="e">
        <f t="shared" si="6"/>
        <v>#REF!</v>
      </c>
    </row>
    <row r="25" spans="1:5" hidden="1" outlineLevel="1" x14ac:dyDescent="0.2">
      <c r="A25" s="9" t="s">
        <v>4</v>
      </c>
      <c r="B25" s="54"/>
      <c r="C25" s="54"/>
      <c r="D25" s="54"/>
      <c r="E25" s="54"/>
    </row>
    <row r="26" spans="1:5" ht="27.75" x14ac:dyDescent="0.2">
      <c r="A26" s="21" t="s">
        <v>1</v>
      </c>
      <c r="B26" s="78" t="e">
        <f>B24</f>
        <v>#REF!</v>
      </c>
      <c r="C26" s="78" t="e">
        <f t="shared" ref="C26:E26" si="7">C24</f>
        <v>#REF!</v>
      </c>
      <c r="D26" s="78" t="e">
        <f t="shared" si="7"/>
        <v>#REF!</v>
      </c>
      <c r="E26" s="78" t="e">
        <f t="shared" si="7"/>
        <v>#REF!</v>
      </c>
    </row>
  </sheetData>
  <mergeCells count="3">
    <mergeCell ref="A1:E1"/>
    <mergeCell ref="A2:E2"/>
    <mergeCell ref="A5:A6"/>
  </mergeCells>
  <pageMargins left="0.39370078740157483" right="0.39370078740157483" top="0.74803149606299213" bottom="0.74803149606299213" header="0.31496062992125984" footer="0.31496062992125984"/>
  <pageSetup paperSize="9" scale="83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0000"/>
  </sheetPr>
  <dimension ref="A1:F38"/>
  <sheetViews>
    <sheetView topLeftCell="A25" workbookViewId="0">
      <selection activeCell="A31" sqref="A31"/>
    </sheetView>
  </sheetViews>
  <sheetFormatPr defaultRowHeight="14.25" x14ac:dyDescent="0.2"/>
  <cols>
    <col min="1" max="1" width="53.375" customWidth="1"/>
    <col min="2" max="2" width="8.125" customWidth="1"/>
    <col min="3" max="3" width="20.625" style="73" customWidth="1"/>
    <col min="4" max="6" width="20.625" style="46" customWidth="1"/>
    <col min="7" max="17" width="39.375" customWidth="1"/>
  </cols>
  <sheetData>
    <row r="1" spans="1:6" ht="24" x14ac:dyDescent="0.2">
      <c r="A1" s="702" t="s">
        <v>17</v>
      </c>
      <c r="B1" s="702"/>
      <c r="C1" s="702"/>
      <c r="D1" s="702"/>
      <c r="E1" s="702"/>
      <c r="F1" s="702"/>
    </row>
    <row r="2" spans="1:6" ht="24" x14ac:dyDescent="0.2">
      <c r="A2" s="5" t="s">
        <v>15</v>
      </c>
      <c r="B2" s="5"/>
      <c r="C2" s="64"/>
      <c r="D2" s="45"/>
      <c r="E2" s="45"/>
      <c r="F2" s="45"/>
    </row>
    <row r="3" spans="1:6" ht="24" x14ac:dyDescent="0.2">
      <c r="A3" s="3" t="s">
        <v>16</v>
      </c>
      <c r="B3" s="3"/>
      <c r="C3" s="65"/>
      <c r="E3" s="47"/>
      <c r="F3" s="47" t="s">
        <v>0</v>
      </c>
    </row>
    <row r="4" spans="1:6" ht="24" x14ac:dyDescent="0.2">
      <c r="A4" s="3"/>
      <c r="B4" s="3"/>
      <c r="C4" s="65"/>
      <c r="E4" s="47"/>
      <c r="F4" s="47"/>
    </row>
    <row r="5" spans="1:6" ht="24" x14ac:dyDescent="0.2">
      <c r="A5" s="706" t="s">
        <v>13</v>
      </c>
      <c r="B5" s="22" t="s">
        <v>5</v>
      </c>
      <c r="C5" s="710" t="s">
        <v>1</v>
      </c>
      <c r="D5" s="708" t="s">
        <v>43</v>
      </c>
      <c r="E5" s="708" t="s">
        <v>44</v>
      </c>
      <c r="F5" s="708" t="s">
        <v>45</v>
      </c>
    </row>
    <row r="6" spans="1:6" ht="24" x14ac:dyDescent="0.2">
      <c r="A6" s="707"/>
      <c r="B6" s="23" t="s">
        <v>3</v>
      </c>
      <c r="C6" s="711"/>
      <c r="D6" s="709"/>
      <c r="E6" s="709"/>
      <c r="F6" s="709"/>
    </row>
    <row r="7" spans="1:6" ht="24" x14ac:dyDescent="0.2">
      <c r="A7" s="32" t="s">
        <v>39</v>
      </c>
      <c r="B7" s="31" t="s">
        <v>2</v>
      </c>
      <c r="C7" s="48">
        <f>SUM(D7:F7)</f>
        <v>5782810</v>
      </c>
      <c r="D7" s="49">
        <f>D9</f>
        <v>2041680</v>
      </c>
      <c r="E7" s="49">
        <f>E9</f>
        <v>1872680</v>
      </c>
      <c r="F7" s="49">
        <f>F9</f>
        <v>1868450</v>
      </c>
    </row>
    <row r="8" spans="1:6" ht="24" x14ac:dyDescent="0.2">
      <c r="A8" s="32"/>
      <c r="B8" s="31" t="s">
        <v>3</v>
      </c>
      <c r="C8" s="48"/>
      <c r="D8" s="49"/>
      <c r="E8" s="49"/>
      <c r="F8" s="49"/>
    </row>
    <row r="9" spans="1:6" ht="24" x14ac:dyDescent="0.2">
      <c r="A9" s="26" t="s">
        <v>46</v>
      </c>
      <c r="B9" s="8" t="s">
        <v>2</v>
      </c>
      <c r="C9" s="66">
        <f>SUM(D9:F9)</f>
        <v>5782810</v>
      </c>
      <c r="D9" s="51">
        <f>D11+D15+D28</f>
        <v>2041680</v>
      </c>
      <c r="E9" s="51">
        <f>E11+E15+E28</f>
        <v>1872680</v>
      </c>
      <c r="F9" s="51">
        <f>F11+F15+F28</f>
        <v>1868450</v>
      </c>
    </row>
    <row r="10" spans="1:6" ht="24" x14ac:dyDescent="0.2">
      <c r="A10" s="43"/>
      <c r="B10" s="8" t="s">
        <v>3</v>
      </c>
      <c r="C10" s="66"/>
      <c r="D10" s="51"/>
      <c r="E10" s="51"/>
      <c r="F10" s="51"/>
    </row>
    <row r="11" spans="1:6" ht="24" x14ac:dyDescent="0.2">
      <c r="A11" s="33" t="s">
        <v>41</v>
      </c>
      <c r="B11" s="25" t="s">
        <v>2</v>
      </c>
      <c r="C11" s="67">
        <f>SUM(C14)</f>
        <v>5040</v>
      </c>
      <c r="D11" s="52">
        <f>SUM(D14)</f>
        <v>1680</v>
      </c>
      <c r="E11" s="52">
        <f>SUM(E14)</f>
        <v>1680</v>
      </c>
      <c r="F11" s="52">
        <f>SUM(F14)</f>
        <v>1680</v>
      </c>
    </row>
    <row r="12" spans="1:6" ht="24" x14ac:dyDescent="0.2">
      <c r="A12" s="34"/>
      <c r="B12" s="25" t="s">
        <v>3</v>
      </c>
      <c r="C12" s="67"/>
      <c r="D12" s="53"/>
      <c r="E12" s="53"/>
      <c r="F12" s="53"/>
    </row>
    <row r="13" spans="1:6" ht="24" x14ac:dyDescent="0.2">
      <c r="A13" s="40" t="s">
        <v>38</v>
      </c>
      <c r="B13" s="25"/>
      <c r="C13" s="67"/>
      <c r="D13" s="53"/>
      <c r="E13" s="53"/>
      <c r="F13" s="53"/>
    </row>
    <row r="14" spans="1:6" ht="24" x14ac:dyDescent="0.2">
      <c r="A14" s="27" t="s">
        <v>19</v>
      </c>
      <c r="B14" s="25" t="s">
        <v>2</v>
      </c>
      <c r="C14" s="67">
        <f>SUM(D14:F14)</f>
        <v>5040</v>
      </c>
      <c r="D14" s="52">
        <v>1680</v>
      </c>
      <c r="E14" s="52">
        <v>1680</v>
      </c>
      <c r="F14" s="52">
        <v>1680</v>
      </c>
    </row>
    <row r="15" spans="1:6" ht="24" x14ac:dyDescent="0.2">
      <c r="A15" s="34" t="s">
        <v>51</v>
      </c>
      <c r="B15" s="25" t="s">
        <v>2</v>
      </c>
      <c r="C15" s="67">
        <f>SUM(C19:C27)</f>
        <v>5689770</v>
      </c>
      <c r="D15" s="52">
        <f>SUM(D19:D27)</f>
        <v>1952000</v>
      </c>
      <c r="E15" s="52">
        <f>SUM(E19:E27)</f>
        <v>1871000</v>
      </c>
      <c r="F15" s="52">
        <f>SUM(F19:F27)</f>
        <v>1866770</v>
      </c>
    </row>
    <row r="16" spans="1:6" ht="24" x14ac:dyDescent="0.2">
      <c r="A16" s="34"/>
      <c r="B16" s="25" t="s">
        <v>3</v>
      </c>
      <c r="C16" s="67"/>
      <c r="D16" s="52"/>
      <c r="E16" s="52"/>
      <c r="F16" s="52"/>
    </row>
    <row r="17" spans="1:6" ht="24" x14ac:dyDescent="0.2">
      <c r="A17" s="40" t="s">
        <v>38</v>
      </c>
      <c r="B17" s="25"/>
      <c r="C17" s="67"/>
      <c r="D17" s="53"/>
      <c r="E17" s="53"/>
      <c r="F17" s="53"/>
    </row>
    <row r="18" spans="1:6" ht="24" x14ac:dyDescent="0.2">
      <c r="A18" s="28" t="s">
        <v>9</v>
      </c>
      <c r="B18" s="25"/>
      <c r="C18" s="67"/>
      <c r="D18" s="53"/>
      <c r="E18" s="53"/>
      <c r="F18" s="53"/>
    </row>
    <row r="19" spans="1:6" ht="24" x14ac:dyDescent="0.2">
      <c r="A19" s="27" t="s">
        <v>20</v>
      </c>
      <c r="B19" s="25" t="s">
        <v>2</v>
      </c>
      <c r="C19" s="67">
        <f>SUM(D19:F19)</f>
        <v>3440000</v>
      </c>
      <c r="D19" s="52">
        <v>1032000</v>
      </c>
      <c r="E19" s="52">
        <v>1204000</v>
      </c>
      <c r="F19" s="52">
        <v>1204000</v>
      </c>
    </row>
    <row r="20" spans="1:6" ht="24" x14ac:dyDescent="0.2">
      <c r="A20" s="27" t="s">
        <v>21</v>
      </c>
      <c r="B20" s="25" t="s">
        <v>2</v>
      </c>
      <c r="C20" s="67">
        <f>SUM(D20:F20)</f>
        <v>1300000</v>
      </c>
      <c r="D20" s="52">
        <v>390000</v>
      </c>
      <c r="E20" s="52">
        <v>455000</v>
      </c>
      <c r="F20" s="52">
        <v>455000</v>
      </c>
    </row>
    <row r="21" spans="1:6" ht="24" x14ac:dyDescent="0.2">
      <c r="A21" s="28" t="s">
        <v>10</v>
      </c>
      <c r="B21" s="25"/>
      <c r="C21" s="67"/>
      <c r="D21" s="53"/>
      <c r="E21" s="53"/>
      <c r="F21" s="53"/>
    </row>
    <row r="22" spans="1:6" ht="24" x14ac:dyDescent="0.2">
      <c r="A22" s="27" t="s">
        <v>22</v>
      </c>
      <c r="B22" s="25" t="s">
        <v>2</v>
      </c>
      <c r="C22" s="67">
        <f>SUM(D22:F22)</f>
        <v>331600</v>
      </c>
      <c r="D22" s="52">
        <v>99500</v>
      </c>
      <c r="E22" s="52">
        <v>116100</v>
      </c>
      <c r="F22" s="52">
        <v>116000</v>
      </c>
    </row>
    <row r="23" spans="1:6" ht="24" x14ac:dyDescent="0.2">
      <c r="A23" s="42" t="s">
        <v>23</v>
      </c>
      <c r="B23" s="25" t="s">
        <v>2</v>
      </c>
      <c r="C23" s="67">
        <f>SUM(D23:F23)</f>
        <v>89320</v>
      </c>
      <c r="D23" s="52">
        <v>26800</v>
      </c>
      <c r="E23" s="52">
        <v>31300</v>
      </c>
      <c r="F23" s="52">
        <v>31220</v>
      </c>
    </row>
    <row r="24" spans="1:6" ht="24" x14ac:dyDescent="0.2">
      <c r="A24" s="27" t="s">
        <v>24</v>
      </c>
      <c r="B24" s="25" t="s">
        <v>2</v>
      </c>
      <c r="C24" s="67">
        <f>SUM(D24:F24)</f>
        <v>350000</v>
      </c>
      <c r="D24" s="52">
        <v>350000</v>
      </c>
      <c r="E24" s="52">
        <v>0</v>
      </c>
      <c r="F24" s="52">
        <v>0</v>
      </c>
    </row>
    <row r="25" spans="1:6" ht="24" x14ac:dyDescent="0.2">
      <c r="A25" s="27" t="s">
        <v>25</v>
      </c>
      <c r="B25" s="25" t="s">
        <v>2</v>
      </c>
      <c r="C25" s="67">
        <f>SUM(D25:F25)</f>
        <v>84000</v>
      </c>
      <c r="D25" s="52">
        <v>25200</v>
      </c>
      <c r="E25" s="52">
        <v>29400</v>
      </c>
      <c r="F25" s="52">
        <v>29400</v>
      </c>
    </row>
    <row r="26" spans="1:6" ht="24" x14ac:dyDescent="0.2">
      <c r="A26" s="28" t="s">
        <v>11</v>
      </c>
      <c r="B26" s="25"/>
      <c r="C26" s="67"/>
      <c r="D26" s="53"/>
      <c r="E26" s="53"/>
      <c r="F26" s="53"/>
    </row>
    <row r="27" spans="1:6" ht="24" x14ac:dyDescent="0.2">
      <c r="A27" s="27" t="s">
        <v>26</v>
      </c>
      <c r="B27" s="25" t="s">
        <v>2</v>
      </c>
      <c r="C27" s="67">
        <f>SUM(D27:F27)</f>
        <v>94850</v>
      </c>
      <c r="D27" s="52">
        <v>28500</v>
      </c>
      <c r="E27" s="52">
        <v>35200</v>
      </c>
      <c r="F27" s="52">
        <v>31150</v>
      </c>
    </row>
    <row r="28" spans="1:6" ht="24" x14ac:dyDescent="0.2">
      <c r="A28" s="34" t="s">
        <v>42</v>
      </c>
      <c r="B28" s="25" t="s">
        <v>2</v>
      </c>
      <c r="C28" s="67">
        <f>C30</f>
        <v>88000</v>
      </c>
      <c r="D28" s="52">
        <f>D30</f>
        <v>88000</v>
      </c>
      <c r="E28" s="52">
        <f>E30</f>
        <v>0</v>
      </c>
      <c r="F28" s="52">
        <f>F30</f>
        <v>0</v>
      </c>
    </row>
    <row r="29" spans="1:6" ht="24" x14ac:dyDescent="0.2">
      <c r="A29" s="34"/>
      <c r="B29" s="25" t="s">
        <v>3</v>
      </c>
      <c r="C29" s="67"/>
      <c r="D29" s="53"/>
      <c r="E29" s="53"/>
      <c r="F29" s="53"/>
    </row>
    <row r="30" spans="1:6" ht="24" x14ac:dyDescent="0.2">
      <c r="A30" s="29" t="s">
        <v>35</v>
      </c>
      <c r="B30" s="25" t="s">
        <v>2</v>
      </c>
      <c r="C30" s="67">
        <f>SUM(D30:F30)</f>
        <v>88000</v>
      </c>
      <c r="D30" s="52">
        <v>88000</v>
      </c>
      <c r="E30" s="52">
        <v>0</v>
      </c>
      <c r="F30" s="52">
        <v>0</v>
      </c>
    </row>
    <row r="31" spans="1:6" ht="24" x14ac:dyDescent="0.2">
      <c r="A31" s="29" t="s">
        <v>36</v>
      </c>
      <c r="B31" s="10"/>
      <c r="C31" s="68"/>
      <c r="D31" s="54"/>
      <c r="E31" s="54"/>
      <c r="F31" s="54"/>
    </row>
    <row r="32" spans="1:6" ht="24" x14ac:dyDescent="0.2">
      <c r="A32" s="29" t="s">
        <v>37</v>
      </c>
      <c r="B32" s="30"/>
      <c r="C32" s="69"/>
      <c r="D32" s="55"/>
      <c r="E32" s="55"/>
      <c r="F32" s="55"/>
    </row>
    <row r="33" spans="1:6" ht="24" x14ac:dyDescent="0.2">
      <c r="A33" s="44" t="s">
        <v>47</v>
      </c>
      <c r="B33" s="31" t="s">
        <v>2</v>
      </c>
      <c r="C33" s="48">
        <f>SUM(D33:F33)</f>
        <v>5782810</v>
      </c>
      <c r="D33" s="49">
        <f>D7</f>
        <v>2041680</v>
      </c>
      <c r="E33" s="49">
        <f>E7</f>
        <v>1872680</v>
      </c>
      <c r="F33" s="49">
        <f>F7</f>
        <v>1868450</v>
      </c>
    </row>
    <row r="34" spans="1:6" ht="24" x14ac:dyDescent="0.2">
      <c r="A34" s="32"/>
      <c r="B34" s="31" t="s">
        <v>3</v>
      </c>
      <c r="C34" s="48"/>
      <c r="D34" s="49"/>
      <c r="E34" s="49"/>
      <c r="F34" s="49"/>
    </row>
    <row r="35" spans="1:6" ht="24" x14ac:dyDescent="0.2">
      <c r="A35" s="704" t="s">
        <v>6</v>
      </c>
      <c r="B35" s="35" t="s">
        <v>2</v>
      </c>
      <c r="C35" s="70">
        <f>SUM(D35:F35)</f>
        <v>5782810</v>
      </c>
      <c r="D35" s="56">
        <f>D33</f>
        <v>2041680</v>
      </c>
      <c r="E35" s="56">
        <f>E33</f>
        <v>1872680</v>
      </c>
      <c r="F35" s="56">
        <f>F33</f>
        <v>1868450</v>
      </c>
    </row>
    <row r="36" spans="1:6" ht="24" x14ac:dyDescent="0.2">
      <c r="A36" s="705"/>
      <c r="B36" s="36" t="s">
        <v>3</v>
      </c>
      <c r="C36" s="71"/>
      <c r="D36" s="57"/>
      <c r="E36" s="57"/>
      <c r="F36" s="57"/>
    </row>
    <row r="37" spans="1:6" ht="41.25" customHeight="1" x14ac:dyDescent="0.2">
      <c r="A37" s="11"/>
      <c r="B37" s="11"/>
      <c r="C37" s="72"/>
      <c r="D37" s="58"/>
      <c r="E37" s="58"/>
      <c r="F37" s="58"/>
    </row>
    <row r="38" spans="1:6" ht="28.5" customHeight="1" x14ac:dyDescent="0.2">
      <c r="A38" s="3" t="s">
        <v>7</v>
      </c>
      <c r="B38" s="11"/>
      <c r="C38" s="72"/>
      <c r="D38" s="58"/>
      <c r="E38" s="58"/>
      <c r="F38" s="58"/>
    </row>
  </sheetData>
  <mergeCells count="7">
    <mergeCell ref="A1:F1"/>
    <mergeCell ref="A35:A36"/>
    <mergeCell ref="A5:A6"/>
    <mergeCell ref="D5:D6"/>
    <mergeCell ref="F5:F6"/>
    <mergeCell ref="E5:E6"/>
    <mergeCell ref="C5:C6"/>
  </mergeCells>
  <pageMargins left="0.39370078740157483" right="0.39370078740157483" top="0.74803149606299213" bottom="0.31496062992125984" header="0.31496062992125984" footer="0.11811023622047245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500515-AE5F-4FC4-A412-71DEDDB38A8E}">
  <sheetPr>
    <tabColor rgb="FFFFFF00"/>
  </sheetPr>
  <dimension ref="A1:I166"/>
  <sheetViews>
    <sheetView workbookViewId="0">
      <selection activeCell="I12" sqref="I12"/>
    </sheetView>
  </sheetViews>
  <sheetFormatPr defaultColWidth="9" defaultRowHeight="24" outlineLevelRow="1" x14ac:dyDescent="0.2"/>
  <cols>
    <col min="1" max="1" width="39" style="219" customWidth="1"/>
    <col min="2" max="2" width="14.625" style="219" customWidth="1"/>
    <col min="3" max="5" width="16.375" style="219" customWidth="1"/>
    <col min="6" max="6" width="1.25" style="219" customWidth="1"/>
    <col min="7" max="7" width="14.75" style="219" customWidth="1"/>
    <col min="8" max="8" width="16.25" style="219" customWidth="1"/>
    <col min="9" max="16384" width="9" style="219"/>
  </cols>
  <sheetData>
    <row r="1" spans="1:9" ht="24.95" customHeight="1" x14ac:dyDescent="0.2">
      <c r="A1" s="672" t="s">
        <v>31</v>
      </c>
      <c r="B1" s="672"/>
      <c r="C1" s="672"/>
      <c r="D1" s="672"/>
      <c r="E1" s="672"/>
    </row>
    <row r="2" spans="1:9" ht="24.95" customHeight="1" x14ac:dyDescent="0.2">
      <c r="A2" s="672" t="s">
        <v>224</v>
      </c>
      <c r="B2" s="672"/>
      <c r="C2" s="672"/>
      <c r="D2" s="672"/>
      <c r="E2" s="672"/>
    </row>
    <row r="3" spans="1:9" ht="11.25" customHeight="1" x14ac:dyDescent="0.2">
      <c r="A3" s="122"/>
      <c r="B3" s="122"/>
      <c r="C3" s="122"/>
      <c r="D3" s="122"/>
      <c r="E3" s="122"/>
    </row>
    <row r="4" spans="1:9" ht="24.95" customHeight="1" x14ac:dyDescent="0.2">
      <c r="A4" s="122"/>
      <c r="B4" s="122"/>
      <c r="C4" s="122"/>
      <c r="D4" s="122"/>
      <c r="E4" s="278" t="s">
        <v>28</v>
      </c>
    </row>
    <row r="5" spans="1:9" ht="24.95" customHeight="1" x14ac:dyDescent="0.2">
      <c r="A5" s="671" t="s">
        <v>190</v>
      </c>
      <c r="B5" s="239" t="s">
        <v>1</v>
      </c>
      <c r="C5" s="239" t="s">
        <v>191</v>
      </c>
      <c r="D5" s="239" t="s">
        <v>192</v>
      </c>
      <c r="E5" s="239" t="s">
        <v>193</v>
      </c>
    </row>
    <row r="6" spans="1:9" s="240" customFormat="1" ht="24.95" customHeight="1" x14ac:dyDescent="0.2">
      <c r="A6" s="671"/>
      <c r="B6" s="239" t="s">
        <v>2</v>
      </c>
      <c r="C6" s="239" t="s">
        <v>2</v>
      </c>
      <c r="D6" s="239" t="s">
        <v>2</v>
      </c>
      <c r="E6" s="239" t="s">
        <v>2</v>
      </c>
    </row>
    <row r="7" spans="1:9" s="240" customFormat="1" ht="24.95" customHeight="1" x14ac:dyDescent="0.2">
      <c r="A7" s="279" t="s">
        <v>172</v>
      </c>
      <c r="B7" s="280"/>
      <c r="C7" s="280"/>
      <c r="D7" s="280"/>
      <c r="E7" s="280"/>
    </row>
    <row r="8" spans="1:9" s="240" customFormat="1" ht="24.95" customHeight="1" x14ac:dyDescent="0.2">
      <c r="A8" s="281" t="s">
        <v>194</v>
      </c>
      <c r="B8" s="282" t="e">
        <f>B9+B12</f>
        <v>#REF!</v>
      </c>
      <c r="C8" s="282" t="e">
        <f>C9+C12</f>
        <v>#REF!</v>
      </c>
      <c r="D8" s="282" t="e">
        <f t="shared" ref="D8:E8" si="0">D9+D12</f>
        <v>#REF!</v>
      </c>
      <c r="E8" s="282" t="e">
        <f t="shared" si="0"/>
        <v>#REF!</v>
      </c>
    </row>
    <row r="9" spans="1:9" ht="24.95" customHeight="1" x14ac:dyDescent="0.2">
      <c r="A9" s="283" t="s">
        <v>195</v>
      </c>
      <c r="B9" s="284" t="e">
        <f t="shared" ref="B9:B16" si="1">SUM(C9:E9)</f>
        <v>#REF!</v>
      </c>
      <c r="C9" s="284" t="e">
        <f>SUM(C10:C11)</f>
        <v>#REF!</v>
      </c>
      <c r="D9" s="284" t="e">
        <f t="shared" ref="D9:E9" si="2">SUM(D10:D11)</f>
        <v>#REF!</v>
      </c>
      <c r="E9" s="284" t="e">
        <f t="shared" si="2"/>
        <v>#REF!</v>
      </c>
    </row>
    <row r="10" spans="1:9" ht="24.95" customHeight="1" outlineLevel="1" x14ac:dyDescent="0.2">
      <c r="A10" s="285" t="s">
        <v>48</v>
      </c>
      <c r="B10" s="286" t="e">
        <f t="shared" si="1"/>
        <v>#REF!</v>
      </c>
      <c r="C10" s="286" t="e">
        <f>'สงม. 2 ปกครอง'!#REF!</f>
        <v>#REF!</v>
      </c>
      <c r="D10" s="286" t="e">
        <f>'สงม. 2 ปกครอง'!#REF!</f>
        <v>#REF!</v>
      </c>
      <c r="E10" s="286" t="e">
        <f>'สงม. 2 ปกครอง'!#REF!</f>
        <v>#REF!</v>
      </c>
    </row>
    <row r="11" spans="1:9" ht="24.95" customHeight="1" outlineLevel="1" x14ac:dyDescent="0.2">
      <c r="A11" s="285" t="s">
        <v>49</v>
      </c>
      <c r="B11" s="286">
        <f t="shared" si="1"/>
        <v>4530100</v>
      </c>
      <c r="C11" s="286">
        <f>'สงม. 2 ปกครอง'!D11</f>
        <v>4080400</v>
      </c>
      <c r="D11" s="286">
        <f>'สงม. 2 ปกครอง'!E11</f>
        <v>266000</v>
      </c>
      <c r="E11" s="286">
        <f>'สงม. 2 ปกครอง'!F11</f>
        <v>183700</v>
      </c>
      <c r="H11" s="440" t="e">
        <f>C11+D11+C14+D14+C10+D10+C13+D13+2812000</f>
        <v>#REF!</v>
      </c>
    </row>
    <row r="12" spans="1:9" ht="24.95" customHeight="1" outlineLevel="1" x14ac:dyDescent="0.2">
      <c r="A12" s="283" t="s">
        <v>196</v>
      </c>
      <c r="B12" s="284" t="e">
        <f t="shared" si="1"/>
        <v>#REF!</v>
      </c>
      <c r="C12" s="284" t="e">
        <f>SUM(C13:C15)</f>
        <v>#REF!</v>
      </c>
      <c r="D12" s="284" t="e">
        <f t="shared" ref="D12:E12" si="3">SUM(D13:D15)</f>
        <v>#REF!</v>
      </c>
      <c r="E12" s="284" t="e">
        <f t="shared" si="3"/>
        <v>#REF!</v>
      </c>
    </row>
    <row r="13" spans="1:9" ht="24.95" customHeight="1" outlineLevel="1" x14ac:dyDescent="0.2">
      <c r="A13" s="285" t="s">
        <v>48</v>
      </c>
      <c r="B13" s="286" t="e">
        <f t="shared" si="1"/>
        <v>#REF!</v>
      </c>
      <c r="C13" s="286" t="e">
        <f>'สงม. 2 ปกครอง'!#REF!</f>
        <v>#REF!</v>
      </c>
      <c r="D13" s="286" t="e">
        <f>'สงม. 2 ปกครอง'!#REF!</f>
        <v>#REF!</v>
      </c>
      <c r="E13" s="286" t="e">
        <f>'สงม. 2 ปกครอง'!#REF!</f>
        <v>#REF!</v>
      </c>
    </row>
    <row r="14" spans="1:9" ht="24.95" customHeight="1" outlineLevel="1" x14ac:dyDescent="0.2">
      <c r="A14" s="285" t="s">
        <v>49</v>
      </c>
      <c r="B14" s="286">
        <f t="shared" si="1"/>
        <v>983000</v>
      </c>
      <c r="C14" s="286">
        <f>'สงม. 2 ปกครอง'!D42</f>
        <v>376400</v>
      </c>
      <c r="D14" s="286">
        <f>'สงม. 2 ปกครอง'!E42</f>
        <v>428200</v>
      </c>
      <c r="E14" s="286">
        <f>'สงม. 2 ปกครอง'!F42</f>
        <v>178400</v>
      </c>
    </row>
    <row r="15" spans="1:9" ht="24.95" customHeight="1" outlineLevel="1" x14ac:dyDescent="0.2">
      <c r="A15" s="285" t="s">
        <v>53</v>
      </c>
      <c r="B15" s="286">
        <f t="shared" si="1"/>
        <v>343200</v>
      </c>
      <c r="C15" s="286">
        <f>'สงม. 2 ปกครอง'!D66+'สงม. 2 ปกครอง'!D59</f>
        <v>343200</v>
      </c>
      <c r="D15" s="286">
        <f>'สงม. 2 ปกครอง'!E66+'สงม. 2 ปกครอง'!E59</f>
        <v>0</v>
      </c>
      <c r="E15" s="286">
        <f>'สงม. 2 ปกครอง'!F66+'สงม. 2 ปกครอง'!F59</f>
        <v>0</v>
      </c>
      <c r="G15" s="287" t="e">
        <f>'สงม.1 (แยกฝ่าย)'!B37</f>
        <v>#REF!</v>
      </c>
      <c r="H15" s="287"/>
    </row>
    <row r="16" spans="1:9" ht="24.95" customHeight="1" outlineLevel="1" x14ac:dyDescent="0.2">
      <c r="A16" s="288" t="s">
        <v>197</v>
      </c>
      <c r="B16" s="282" t="e">
        <f t="shared" si="1"/>
        <v>#REF!</v>
      </c>
      <c r="C16" s="282" t="e">
        <f>'สงม. 2 ปกครอง'!#REF!+'สงม. 2 ปกครอง'!#REF!</f>
        <v>#REF!</v>
      </c>
      <c r="D16" s="282" t="e">
        <f>'สงม. 2 ปกครอง'!#REF!+'สงม. 2 ปกครอง'!#REF!</f>
        <v>#REF!</v>
      </c>
      <c r="E16" s="282" t="e">
        <f>'สงม. 2 ปกครอง'!#REF!+'สงม. 2 ปกครอง'!#REF!</f>
        <v>#REF!</v>
      </c>
      <c r="G16" s="287" t="e">
        <f>B8+B16</f>
        <v>#REF!</v>
      </c>
      <c r="H16" s="287" t="e">
        <f>C8+D8+E8+C16+D16+E16</f>
        <v>#REF!</v>
      </c>
      <c r="I16" s="287" t="e">
        <f>G16-H16</f>
        <v>#REF!</v>
      </c>
    </row>
    <row r="17" spans="1:8" ht="24.95" customHeight="1" outlineLevel="1" x14ac:dyDescent="0.2">
      <c r="A17" s="279" t="s">
        <v>178</v>
      </c>
      <c r="B17" s="280"/>
      <c r="C17" s="280"/>
      <c r="D17" s="280"/>
      <c r="E17" s="280"/>
    </row>
    <row r="18" spans="1:8" ht="24.95" customHeight="1" outlineLevel="1" x14ac:dyDescent="0.2">
      <c r="A18" s="281" t="s">
        <v>194</v>
      </c>
      <c r="B18" s="282" t="e">
        <f>SUM(C18:E18)</f>
        <v>#REF!</v>
      </c>
      <c r="C18" s="282" t="e">
        <f>C19</f>
        <v>#REF!</v>
      </c>
      <c r="D18" s="282" t="e">
        <f t="shared" ref="D18:E18" si="4">D19</f>
        <v>#REF!</v>
      </c>
      <c r="E18" s="282" t="e">
        <f t="shared" si="4"/>
        <v>#REF!</v>
      </c>
      <c r="G18" s="287"/>
    </row>
    <row r="19" spans="1:8" ht="24.95" customHeight="1" outlineLevel="1" x14ac:dyDescent="0.2">
      <c r="A19" s="283" t="s">
        <v>198</v>
      </c>
      <c r="B19" s="284" t="e">
        <f>SUM(C19:E19)</f>
        <v>#REF!</v>
      </c>
      <c r="C19" s="284" t="e">
        <f>SUM(C20:C21)</f>
        <v>#REF!</v>
      </c>
      <c r="D19" s="284" t="e">
        <f t="shared" ref="D19:E19" si="5">SUM(D20:D21)</f>
        <v>#REF!</v>
      </c>
      <c r="E19" s="284" t="e">
        <f t="shared" si="5"/>
        <v>#REF!</v>
      </c>
    </row>
    <row r="20" spans="1:8" ht="24.95" customHeight="1" outlineLevel="1" x14ac:dyDescent="0.2">
      <c r="A20" s="285" t="s">
        <v>48</v>
      </c>
      <c r="B20" s="286" t="e">
        <f>SUM(C20:E20)</f>
        <v>#REF!</v>
      </c>
      <c r="C20" s="286" t="e">
        <f>'สงม. 2 ทะเบียน'!#REF!</f>
        <v>#REF!</v>
      </c>
      <c r="D20" s="286" t="e">
        <f>'สงม. 2 ทะเบียน'!#REF!</f>
        <v>#REF!</v>
      </c>
      <c r="E20" s="286" t="e">
        <f>'สงม. 2 ทะเบียน'!#REF!</f>
        <v>#REF!</v>
      </c>
      <c r="G20" s="287">
        <f>'สงม.1 (แยกฝ่าย)'!B55</f>
        <v>1301000</v>
      </c>
      <c r="H20" s="287">
        <f>'สงม.1 (แยกฝ่าย)'!C55+'สงม.1 (แยกฝ่าย)'!D55+'สงม.1 (แยกฝ่าย)'!E55</f>
        <v>1301000</v>
      </c>
    </row>
    <row r="21" spans="1:8" ht="24.95" customHeight="1" outlineLevel="1" x14ac:dyDescent="0.2">
      <c r="A21" s="285" t="s">
        <v>49</v>
      </c>
      <c r="B21" s="286">
        <f>SUM(C21:E21)</f>
        <v>1301000</v>
      </c>
      <c r="C21" s="286">
        <f>'สงม. 2 ทะเบียน'!D11</f>
        <v>989910</v>
      </c>
      <c r="D21" s="286">
        <f>'สงม. 2 ทะเบียน'!E11</f>
        <v>170520</v>
      </c>
      <c r="E21" s="286">
        <f>'สงม. 2 ทะเบียน'!F11</f>
        <v>140570</v>
      </c>
      <c r="G21" s="287" t="e">
        <f>B18</f>
        <v>#REF!</v>
      </c>
      <c r="H21" s="287" t="e">
        <f>C18+D18+E18</f>
        <v>#REF!</v>
      </c>
    </row>
    <row r="22" spans="1:8" ht="24.95" customHeight="1" outlineLevel="1" x14ac:dyDescent="0.2">
      <c r="A22" s="279" t="s">
        <v>179</v>
      </c>
      <c r="B22" s="280"/>
      <c r="C22" s="280"/>
      <c r="D22" s="280"/>
      <c r="E22" s="280"/>
      <c r="H22" s="287"/>
    </row>
    <row r="23" spans="1:8" s="240" customFormat="1" ht="24.95" customHeight="1" outlineLevel="1" x14ac:dyDescent="0.2">
      <c r="A23" s="281" t="s">
        <v>194</v>
      </c>
      <c r="B23" s="282" t="e">
        <f>SUM(C23:E23)</f>
        <v>#REF!</v>
      </c>
      <c r="C23" s="282" t="e">
        <f>C24</f>
        <v>#REF!</v>
      </c>
      <c r="D23" s="282" t="e">
        <f t="shared" ref="D23:E23" si="6">D24</f>
        <v>#REF!</v>
      </c>
      <c r="E23" s="282" t="e">
        <f t="shared" si="6"/>
        <v>#REF!</v>
      </c>
    </row>
    <row r="24" spans="1:8" ht="24.95" customHeight="1" outlineLevel="1" x14ac:dyDescent="0.2">
      <c r="A24" s="283" t="s">
        <v>199</v>
      </c>
      <c r="B24" s="284" t="e">
        <f>SUM(C24:E24)</f>
        <v>#REF!</v>
      </c>
      <c r="C24" s="284" t="e">
        <f>SUM(C25:C26)</f>
        <v>#REF!</v>
      </c>
      <c r="D24" s="284" t="e">
        <f t="shared" ref="D24:E24" si="7">SUM(D25:D26)</f>
        <v>#REF!</v>
      </c>
      <c r="E24" s="284" t="e">
        <f t="shared" si="7"/>
        <v>#REF!</v>
      </c>
    </row>
    <row r="25" spans="1:8" ht="24.95" customHeight="1" x14ac:dyDescent="0.2">
      <c r="A25" s="285" t="s">
        <v>48</v>
      </c>
      <c r="B25" s="286" t="e">
        <f>SUM(C25:E25)</f>
        <v>#REF!</v>
      </c>
      <c r="C25" s="286" t="e">
        <f>'สงม. 2 คลัง'!#REF!</f>
        <v>#REF!</v>
      </c>
      <c r="D25" s="286" t="e">
        <f>'สงม. 2 คลัง'!#REF!</f>
        <v>#REF!</v>
      </c>
      <c r="E25" s="286" t="e">
        <f>'สงม. 2 คลัง'!#REF!</f>
        <v>#REF!</v>
      </c>
      <c r="G25" s="287">
        <f>'สงม.1 (แยกฝ่าย)'!B77</f>
        <v>829700</v>
      </c>
      <c r="H25" s="287">
        <f>'สงม.1 (แยกฝ่าย)'!C77+'สงม.1 (แยกฝ่าย)'!D77+'สงม.1 (แยกฝ่าย)'!E77</f>
        <v>829700</v>
      </c>
    </row>
    <row r="26" spans="1:8" ht="24.95" customHeight="1" x14ac:dyDescent="0.2">
      <c r="A26" s="285" t="s">
        <v>49</v>
      </c>
      <c r="B26" s="286">
        <f>SUM(C26:E26)</f>
        <v>829700</v>
      </c>
      <c r="C26" s="286">
        <f>'สงม. 2 คลัง'!D11</f>
        <v>582300</v>
      </c>
      <c r="D26" s="286">
        <f>'สงม. 2 คลัง'!E11</f>
        <v>80000</v>
      </c>
      <c r="E26" s="286">
        <f>'สงม. 2 คลัง'!F11</f>
        <v>167400</v>
      </c>
      <c r="G26" s="287" t="e">
        <f>B23</f>
        <v>#REF!</v>
      </c>
      <c r="H26" s="287" t="e">
        <f>C23+D23+E23</f>
        <v>#REF!</v>
      </c>
    </row>
    <row r="27" spans="1:8" ht="24.95" customHeight="1" x14ac:dyDescent="0.2">
      <c r="A27" s="279" t="s">
        <v>180</v>
      </c>
      <c r="B27" s="280"/>
      <c r="C27" s="280"/>
      <c r="D27" s="280"/>
      <c r="E27" s="280"/>
    </row>
    <row r="28" spans="1:8" ht="24.95" customHeight="1" x14ac:dyDescent="0.2">
      <c r="A28" s="281" t="s">
        <v>194</v>
      </c>
      <c r="B28" s="282" t="e">
        <f>SUM(C28:E28)</f>
        <v>#REF!</v>
      </c>
      <c r="C28" s="282" t="e">
        <f>C29</f>
        <v>#REF!</v>
      </c>
      <c r="D28" s="282" t="e">
        <f t="shared" ref="D28:E28" si="8">D29</f>
        <v>#REF!</v>
      </c>
      <c r="E28" s="282" t="e">
        <f t="shared" si="8"/>
        <v>#REF!</v>
      </c>
    </row>
    <row r="29" spans="1:8" ht="24.95" customHeight="1" x14ac:dyDescent="0.2">
      <c r="A29" s="283" t="s">
        <v>200</v>
      </c>
      <c r="B29" s="284" t="e">
        <f>SUM(C29:E29)</f>
        <v>#REF!</v>
      </c>
      <c r="C29" s="284" t="e">
        <f>SUM(C30:C31)</f>
        <v>#REF!</v>
      </c>
      <c r="D29" s="284" t="e">
        <f t="shared" ref="D29:E29" si="9">SUM(D30:D31)</f>
        <v>#REF!</v>
      </c>
      <c r="E29" s="284" t="e">
        <f t="shared" si="9"/>
        <v>#REF!</v>
      </c>
    </row>
    <row r="30" spans="1:8" ht="24.95" customHeight="1" x14ac:dyDescent="0.2">
      <c r="A30" s="285" t="s">
        <v>48</v>
      </c>
      <c r="B30" s="286" t="e">
        <f>SUM(C30:E30)</f>
        <v>#REF!</v>
      </c>
      <c r="C30" s="286" t="e">
        <f>'สงม. 2 รายได้'!#REF!</f>
        <v>#REF!</v>
      </c>
      <c r="D30" s="286" t="e">
        <f>'สงม. 2 รายได้'!#REF!</f>
        <v>#REF!</v>
      </c>
      <c r="E30" s="286" t="e">
        <f>'สงม. 2 รายได้'!#REF!</f>
        <v>#REF!</v>
      </c>
      <c r="G30" s="287">
        <f>'สงม.1 (แยกฝ่าย)'!B99</f>
        <v>947400</v>
      </c>
      <c r="H30" s="287">
        <f>'สงม.1 (แยกฝ่าย)'!C99+'สงม.1 (แยกฝ่าย)'!D99+'สงม.1 (แยกฝ่าย)'!E99</f>
        <v>947400</v>
      </c>
    </row>
    <row r="31" spans="1:8" ht="24.95" customHeight="1" x14ac:dyDescent="0.2">
      <c r="A31" s="285" t="s">
        <v>49</v>
      </c>
      <c r="B31" s="286">
        <f>SUM(C31:E31)</f>
        <v>947400</v>
      </c>
      <c r="C31" s="286">
        <f>'สงม. 2 รายได้'!D11</f>
        <v>809200</v>
      </c>
      <c r="D31" s="286">
        <f>'สงม. 2 รายได้'!E11</f>
        <v>138200</v>
      </c>
      <c r="E31" s="286">
        <f>'สงม. 2 รายได้'!F11</f>
        <v>0</v>
      </c>
      <c r="G31" s="287">
        <f>B31</f>
        <v>947400</v>
      </c>
      <c r="H31" s="287">
        <f>C31+D31+E31</f>
        <v>947400</v>
      </c>
    </row>
    <row r="32" spans="1:8" x14ac:dyDescent="0.2">
      <c r="A32" s="298"/>
      <c r="B32" s="300"/>
      <c r="C32" s="300"/>
      <c r="D32" s="300"/>
      <c r="E32" s="300"/>
    </row>
    <row r="33" spans="1:5" x14ac:dyDescent="0.2">
      <c r="A33" s="298"/>
      <c r="B33" s="300"/>
      <c r="C33" s="300"/>
      <c r="D33" s="300"/>
      <c r="E33" s="300"/>
    </row>
    <row r="34" spans="1:5" x14ac:dyDescent="0.2">
      <c r="A34" s="298"/>
      <c r="B34" s="300"/>
      <c r="C34" s="300"/>
      <c r="D34" s="300"/>
      <c r="E34" s="300"/>
    </row>
    <row r="35" spans="1:5" x14ac:dyDescent="0.2">
      <c r="A35" s="298"/>
      <c r="B35" s="300"/>
      <c r="C35" s="300"/>
      <c r="D35" s="300"/>
      <c r="E35" s="300"/>
    </row>
    <row r="36" spans="1:5" x14ac:dyDescent="0.2">
      <c r="A36" s="298"/>
      <c r="B36" s="300"/>
      <c r="C36" s="300"/>
      <c r="D36" s="300"/>
      <c r="E36" s="300"/>
    </row>
    <row r="37" spans="1:5" x14ac:dyDescent="0.2">
      <c r="A37" s="298"/>
      <c r="B37" s="300"/>
      <c r="C37" s="300"/>
      <c r="D37" s="300"/>
      <c r="E37" s="300"/>
    </row>
    <row r="38" spans="1:5" x14ac:dyDescent="0.2">
      <c r="A38" s="298"/>
      <c r="B38" s="300"/>
      <c r="C38" s="300"/>
      <c r="D38" s="300"/>
      <c r="E38" s="301" t="s">
        <v>232</v>
      </c>
    </row>
    <row r="39" spans="1:5" ht="24.95" customHeight="1" x14ac:dyDescent="0.2">
      <c r="A39" s="122"/>
      <c r="B39" s="122"/>
      <c r="C39" s="122"/>
      <c r="D39" s="122"/>
      <c r="E39" s="278" t="s">
        <v>28</v>
      </c>
    </row>
    <row r="40" spans="1:5" ht="24.95" customHeight="1" x14ac:dyDescent="0.2">
      <c r="A40" s="671" t="s">
        <v>190</v>
      </c>
      <c r="B40" s="239" t="s">
        <v>1</v>
      </c>
      <c r="C40" s="239" t="s">
        <v>191</v>
      </c>
      <c r="D40" s="239" t="s">
        <v>192</v>
      </c>
      <c r="E40" s="239" t="s">
        <v>193</v>
      </c>
    </row>
    <row r="41" spans="1:5" s="240" customFormat="1" ht="24.95" customHeight="1" x14ac:dyDescent="0.2">
      <c r="A41" s="671"/>
      <c r="B41" s="239" t="s">
        <v>2</v>
      </c>
      <c r="C41" s="239" t="s">
        <v>2</v>
      </c>
      <c r="D41" s="239" t="s">
        <v>2</v>
      </c>
      <c r="E41" s="239" t="s">
        <v>2</v>
      </c>
    </row>
    <row r="42" spans="1:5" ht="24.95" customHeight="1" x14ac:dyDescent="0.2">
      <c r="A42" s="293" t="s">
        <v>185</v>
      </c>
      <c r="B42" s="294"/>
      <c r="C42" s="294"/>
      <c r="D42" s="294"/>
      <c r="E42" s="294"/>
    </row>
    <row r="43" spans="1:5" ht="24.95" customHeight="1" x14ac:dyDescent="0.2">
      <c r="A43" s="281" t="s">
        <v>194</v>
      </c>
      <c r="B43" s="282" t="e">
        <f>SUM(C43:E43)</f>
        <v>#REF!</v>
      </c>
      <c r="C43" s="282" t="e">
        <f>C47+C50+C54+C44</f>
        <v>#REF!</v>
      </c>
      <c r="D43" s="282" t="e">
        <f>D47+D50+D54+D44</f>
        <v>#REF!</v>
      </c>
      <c r="E43" s="282" t="e">
        <f t="shared" ref="E43" si="10">E47+E50+E54+E44</f>
        <v>#REF!</v>
      </c>
    </row>
    <row r="44" spans="1:5" ht="24.95" customHeight="1" x14ac:dyDescent="0.2">
      <c r="A44" s="283" t="s">
        <v>201</v>
      </c>
      <c r="B44" s="284" t="e">
        <f t="shared" ref="B44:B57" si="11">SUM(C44:E44)</f>
        <v>#REF!</v>
      </c>
      <c r="C44" s="284" t="e">
        <f>SUM(C45:C46)</f>
        <v>#REF!</v>
      </c>
      <c r="D44" s="284" t="e">
        <f t="shared" ref="D44" si="12">SUM(D45:D46)</f>
        <v>#REF!</v>
      </c>
      <c r="E44" s="284" t="e">
        <f t="shared" ref="E44" si="13">SUM(E45:E46)</f>
        <v>#REF!</v>
      </c>
    </row>
    <row r="45" spans="1:5" ht="24.95" customHeight="1" x14ac:dyDescent="0.2">
      <c r="A45" s="285" t="s">
        <v>48</v>
      </c>
      <c r="B45" s="286" t="e">
        <f t="shared" si="11"/>
        <v>#REF!</v>
      </c>
      <c r="C45" s="286" t="e">
        <f>'สงม. 2 รักษาฯ'!#REF!</f>
        <v>#REF!</v>
      </c>
      <c r="D45" s="286" t="e">
        <f>'สงม. 2 รักษาฯ'!#REF!</f>
        <v>#REF!</v>
      </c>
      <c r="E45" s="286" t="e">
        <f>'สงม. 2 รักษาฯ'!#REF!</f>
        <v>#REF!</v>
      </c>
    </row>
    <row r="46" spans="1:5" ht="24.95" customHeight="1" x14ac:dyDescent="0.2">
      <c r="A46" s="285" t="s">
        <v>49</v>
      </c>
      <c r="B46" s="286">
        <f t="shared" si="11"/>
        <v>12077900</v>
      </c>
      <c r="C46" s="286">
        <f>'สงม. 2 รักษาฯ'!D11</f>
        <v>3855700</v>
      </c>
      <c r="D46" s="286">
        <f>'สงม. 2 รักษาฯ'!E11</f>
        <v>6317000</v>
      </c>
      <c r="E46" s="286">
        <f>'สงม. 2 รักษาฯ'!F11</f>
        <v>1905200</v>
      </c>
    </row>
    <row r="47" spans="1:5" ht="24.95" customHeight="1" x14ac:dyDescent="0.2">
      <c r="A47" s="283" t="s">
        <v>202</v>
      </c>
      <c r="B47" s="284" t="e">
        <f>SUM(C47:E47)</f>
        <v>#REF!</v>
      </c>
      <c r="C47" s="284" t="e">
        <f>SUM(C48:C49)</f>
        <v>#REF!</v>
      </c>
      <c r="D47" s="284" t="e">
        <f t="shared" ref="D47" si="14">SUM(D48:D49)</f>
        <v>#REF!</v>
      </c>
      <c r="E47" s="284" t="e">
        <f t="shared" ref="E47" si="15">SUM(E48:E49)</f>
        <v>#REF!</v>
      </c>
    </row>
    <row r="48" spans="1:5" ht="24.95" customHeight="1" x14ac:dyDescent="0.2">
      <c r="A48" s="285" t="s">
        <v>48</v>
      </c>
      <c r="B48" s="286" t="e">
        <f t="shared" si="11"/>
        <v>#REF!</v>
      </c>
      <c r="C48" s="286" t="e">
        <f>'สงม. 2 รักษาฯ'!#REF!</f>
        <v>#REF!</v>
      </c>
      <c r="D48" s="286" t="e">
        <f>'สงม. 2 รักษาฯ'!#REF!</f>
        <v>#REF!</v>
      </c>
      <c r="E48" s="286" t="e">
        <f>'สงม. 2 รักษาฯ'!#REF!</f>
        <v>#REF!</v>
      </c>
    </row>
    <row r="49" spans="1:8" ht="24.95" customHeight="1" x14ac:dyDescent="0.2">
      <c r="A49" s="285" t="s">
        <v>49</v>
      </c>
      <c r="B49" s="286" t="e">
        <f t="shared" si="11"/>
        <v>#REF!</v>
      </c>
      <c r="C49" s="286" t="e">
        <f>'สงม. 2 รักษาฯ'!#REF!</f>
        <v>#REF!</v>
      </c>
      <c r="D49" s="286" t="e">
        <f>'สงม. 2 รักษาฯ'!#REF!</f>
        <v>#REF!</v>
      </c>
      <c r="E49" s="286" t="e">
        <f>'สงม. 2 รักษาฯ'!#REF!</f>
        <v>#REF!</v>
      </c>
    </row>
    <row r="50" spans="1:8" ht="24.95" customHeight="1" x14ac:dyDescent="0.2">
      <c r="A50" s="283" t="s">
        <v>203</v>
      </c>
      <c r="B50" s="284" t="e">
        <f>SUM(C50:E50)</f>
        <v>#REF!</v>
      </c>
      <c r="C50" s="284" t="e">
        <f>SUM(C51:C52)</f>
        <v>#REF!</v>
      </c>
      <c r="D50" s="284" t="e">
        <f t="shared" ref="D50" si="16">SUM(D51:D52)</f>
        <v>#REF!</v>
      </c>
      <c r="E50" s="284" t="e">
        <f t="shared" ref="E50" si="17">SUM(E51:E52)</f>
        <v>#REF!</v>
      </c>
    </row>
    <row r="51" spans="1:8" ht="24.95" customHeight="1" x14ac:dyDescent="0.2">
      <c r="A51" s="285" t="s">
        <v>48</v>
      </c>
      <c r="B51" s="286" t="e">
        <f t="shared" si="11"/>
        <v>#REF!</v>
      </c>
      <c r="C51" s="286" t="e">
        <f>'สงม. 2 รักษาฯ'!#REF!</f>
        <v>#REF!</v>
      </c>
      <c r="D51" s="286" t="e">
        <f>'สงม. 2 รักษาฯ'!#REF!</f>
        <v>#REF!</v>
      </c>
      <c r="E51" s="286" t="e">
        <f>'สงม. 2 รักษาฯ'!#REF!</f>
        <v>#REF!</v>
      </c>
    </row>
    <row r="52" spans="1:8" ht="24.95" customHeight="1" x14ac:dyDescent="0.2">
      <c r="A52" s="285" t="s">
        <v>49</v>
      </c>
      <c r="B52" s="286">
        <f t="shared" si="11"/>
        <v>5790000</v>
      </c>
      <c r="C52" s="286">
        <f>'สงม. 2 รักษาฯ'!D68</f>
        <v>1490600</v>
      </c>
      <c r="D52" s="286">
        <f>'สงม. 2 รักษาฯ'!E68</f>
        <v>2553400</v>
      </c>
      <c r="E52" s="286">
        <f>'สงม. 2 รักษาฯ'!F68</f>
        <v>1746000</v>
      </c>
    </row>
    <row r="53" spans="1:8" ht="24.95" customHeight="1" x14ac:dyDescent="0.2">
      <c r="A53" s="288" t="s">
        <v>197</v>
      </c>
      <c r="B53" s="282" t="e">
        <f>SUM(C53:E53)</f>
        <v>#REF!</v>
      </c>
      <c r="C53" s="282" t="e">
        <f>'สงม. 2 รักษาฯ'!#REF!+'สงม. 2 รักษาฯ'!D87</f>
        <v>#REF!</v>
      </c>
      <c r="D53" s="282" t="e">
        <f>'สงม. 2 รักษาฯ'!#REF!+'สงม. 2 รักษาฯ'!E87</f>
        <v>#REF!</v>
      </c>
      <c r="E53" s="282" t="e">
        <f>'สงม. 2 รักษาฯ'!#REF!+'สงม. 2 รักษาฯ'!F87</f>
        <v>#REF!</v>
      </c>
    </row>
    <row r="54" spans="1:8" ht="24.95" customHeight="1" x14ac:dyDescent="0.2">
      <c r="A54" s="283" t="s">
        <v>204</v>
      </c>
      <c r="B54" s="284" t="e">
        <f>SUM(C54:E54)</f>
        <v>#REF!</v>
      </c>
      <c r="C54" s="284" t="e">
        <f>SUM(C55:C57)</f>
        <v>#REF!</v>
      </c>
      <c r="D54" s="284" t="e">
        <f t="shared" ref="D54:E54" si="18">SUM(D55:D57)</f>
        <v>#REF!</v>
      </c>
      <c r="E54" s="284" t="e">
        <f t="shared" si="18"/>
        <v>#REF!</v>
      </c>
    </row>
    <row r="55" spans="1:8" ht="24.95" customHeight="1" x14ac:dyDescent="0.2">
      <c r="A55" s="285" t="s">
        <v>48</v>
      </c>
      <c r="B55" s="286" t="e">
        <f t="shared" si="11"/>
        <v>#REF!</v>
      </c>
      <c r="C55" s="286" t="e">
        <f>'สงม. 2 รักษาฯ'!#REF!</f>
        <v>#REF!</v>
      </c>
      <c r="D55" s="286" t="e">
        <f>'สงม. 2 รักษาฯ'!#REF!</f>
        <v>#REF!</v>
      </c>
      <c r="E55" s="286" t="e">
        <f>'สงม. 2 รักษาฯ'!#REF!</f>
        <v>#REF!</v>
      </c>
    </row>
    <row r="56" spans="1:8" ht="24.95" customHeight="1" x14ac:dyDescent="0.2">
      <c r="A56" s="285" t="s">
        <v>49</v>
      </c>
      <c r="B56" s="286">
        <f t="shared" si="11"/>
        <v>3892200</v>
      </c>
      <c r="C56" s="286">
        <f>'สงม. 2 รักษาฯ'!D102</f>
        <v>1000800</v>
      </c>
      <c r="D56" s="286">
        <f>'สงม. 2 รักษาฯ'!E102</f>
        <v>2424700</v>
      </c>
      <c r="E56" s="286">
        <f>'สงม. 2 รักษาฯ'!F102</f>
        <v>466700</v>
      </c>
      <c r="G56" s="287" t="e">
        <f>'สงม.1 (แยกฝ่าย)'!B130</f>
        <v>#REF!</v>
      </c>
      <c r="H56" s="287" t="e">
        <f>'สงม.1 (แยกฝ่าย)'!C130+'สงม.1 (แยกฝ่าย)'!D130+'สงม.1 (แยกฝ่าย)'!E130</f>
        <v>#REF!</v>
      </c>
    </row>
    <row r="57" spans="1:8" ht="24.95" customHeight="1" x14ac:dyDescent="0.2">
      <c r="A57" s="285" t="s">
        <v>53</v>
      </c>
      <c r="B57" s="286" t="e">
        <f t="shared" si="11"/>
        <v>#REF!</v>
      </c>
      <c r="C57" s="286" t="e">
        <f>'สงม. 2 รักษาฯ'!#REF!</f>
        <v>#REF!</v>
      </c>
      <c r="D57" s="286" t="e">
        <f>'สงม. 2 รักษาฯ'!#REF!</f>
        <v>#REF!</v>
      </c>
      <c r="E57" s="286" t="e">
        <f>'สงม. 2 รักษาฯ'!#REF!</f>
        <v>#REF!</v>
      </c>
      <c r="G57" s="287" t="e">
        <f>B43+B53</f>
        <v>#REF!</v>
      </c>
      <c r="H57" s="287" t="e">
        <f>C43+D43+E43+C53+D53+E53</f>
        <v>#REF!</v>
      </c>
    </row>
    <row r="58" spans="1:8" ht="24.95" customHeight="1" x14ac:dyDescent="0.2">
      <c r="A58" s="279" t="s">
        <v>181</v>
      </c>
      <c r="B58" s="280"/>
      <c r="C58" s="280"/>
      <c r="D58" s="280"/>
      <c r="E58" s="280"/>
      <c r="G58" s="287" t="e">
        <f>G56-G57</f>
        <v>#REF!</v>
      </c>
    </row>
    <row r="59" spans="1:8" ht="24.95" customHeight="1" x14ac:dyDescent="0.2">
      <c r="A59" s="281" t="s">
        <v>194</v>
      </c>
      <c r="B59" s="282" t="e">
        <f t="shared" ref="B59:B65" si="19">SUM(C59:E59)</f>
        <v>#REF!</v>
      </c>
      <c r="C59" s="282" t="e">
        <f>C60+C63</f>
        <v>#REF!</v>
      </c>
      <c r="D59" s="282" t="e">
        <f t="shared" ref="D59:E59" si="20">D60+D63</f>
        <v>#REF!</v>
      </c>
      <c r="E59" s="282" t="e">
        <f t="shared" si="20"/>
        <v>#REF!</v>
      </c>
    </row>
    <row r="60" spans="1:8" ht="24.95" customHeight="1" x14ac:dyDescent="0.2">
      <c r="A60" s="283" t="s">
        <v>205</v>
      </c>
      <c r="B60" s="284" t="e">
        <f t="shared" si="19"/>
        <v>#REF!</v>
      </c>
      <c r="C60" s="284" t="e">
        <f>SUM(C61:C62)</f>
        <v>#REF!</v>
      </c>
      <c r="D60" s="284" t="e">
        <f t="shared" ref="D60:E60" si="21">SUM(D61:D62)</f>
        <v>#REF!</v>
      </c>
      <c r="E60" s="284" t="e">
        <f t="shared" si="21"/>
        <v>#REF!</v>
      </c>
    </row>
    <row r="61" spans="1:8" ht="24.95" customHeight="1" x14ac:dyDescent="0.2">
      <c r="A61" s="285" t="s">
        <v>48</v>
      </c>
      <c r="B61" s="286" t="e">
        <f t="shared" si="19"/>
        <v>#REF!</v>
      </c>
      <c r="C61" s="286" t="e">
        <f>'สงม. 2 เทศกิจ'!#REF!</f>
        <v>#REF!</v>
      </c>
      <c r="D61" s="286" t="e">
        <f>'สงม. 2 เทศกิจ'!#REF!</f>
        <v>#REF!</v>
      </c>
      <c r="E61" s="286" t="e">
        <f>'สงม. 2 เทศกิจ'!#REF!</f>
        <v>#REF!</v>
      </c>
    </row>
    <row r="62" spans="1:8" ht="24.95" customHeight="1" x14ac:dyDescent="0.2">
      <c r="A62" s="285" t="s">
        <v>49</v>
      </c>
      <c r="B62" s="286">
        <f t="shared" si="19"/>
        <v>2884500</v>
      </c>
      <c r="C62" s="286">
        <f>'สงม. 2 เทศกิจ'!D11</f>
        <v>890800</v>
      </c>
      <c r="D62" s="286">
        <f>'สงม. 2 เทศกิจ'!E11</f>
        <v>1324700</v>
      </c>
      <c r="E62" s="286">
        <f>'สงม. 2 เทศกิจ'!F11</f>
        <v>669000</v>
      </c>
    </row>
    <row r="63" spans="1:8" ht="24.95" customHeight="1" x14ac:dyDescent="0.2">
      <c r="A63" s="283" t="s">
        <v>206</v>
      </c>
      <c r="B63" s="284">
        <f t="shared" si="19"/>
        <v>0</v>
      </c>
      <c r="C63" s="284">
        <f>SUM(C64:C65)</f>
        <v>0</v>
      </c>
      <c r="D63" s="284">
        <f t="shared" ref="D63" si="22">SUM(D64:D65)</f>
        <v>0</v>
      </c>
      <c r="E63" s="284">
        <f t="shared" ref="E63" si="23">SUM(E64:E65)</f>
        <v>0</v>
      </c>
    </row>
    <row r="64" spans="1:8" ht="24.95" customHeight="1" x14ac:dyDescent="0.2">
      <c r="A64" s="285" t="s">
        <v>48</v>
      </c>
      <c r="B64" s="286">
        <f t="shared" si="19"/>
        <v>0</v>
      </c>
      <c r="C64" s="286">
        <f>'สงม. 2 เทศกิจ'!D89</f>
        <v>0</v>
      </c>
      <c r="D64" s="286">
        <f>'สงม. 2 เทศกิจ'!E89</f>
        <v>0</v>
      </c>
      <c r="E64" s="286">
        <f>'สงม. 2 เทศกิจ'!F89</f>
        <v>0</v>
      </c>
      <c r="G64" s="287">
        <f>'สงม.1 (แยกฝ่าย)'!B151</f>
        <v>2884500</v>
      </c>
      <c r="H64" s="287">
        <f>'สงม.1 (แยกฝ่าย)'!C151+'สงม.1 (แยกฝ่าย)'!D151+'สงม.1 (แยกฝ่าย)'!E151</f>
        <v>2884500</v>
      </c>
    </row>
    <row r="65" spans="1:8" ht="24.95" customHeight="1" x14ac:dyDescent="0.2">
      <c r="A65" s="285" t="s">
        <v>49</v>
      </c>
      <c r="B65" s="286">
        <f t="shared" si="19"/>
        <v>0</v>
      </c>
      <c r="C65" s="286">
        <f>'สงม. 2 เทศกิจ'!D94</f>
        <v>0</v>
      </c>
      <c r="D65" s="286">
        <f>'สงม. 2 เทศกิจ'!E94</f>
        <v>0</v>
      </c>
      <c r="E65" s="286">
        <f>'สงม. 2 เทศกิจ'!F94</f>
        <v>0</v>
      </c>
      <c r="G65" s="287" t="e">
        <f>B59</f>
        <v>#REF!</v>
      </c>
      <c r="H65" s="287" t="e">
        <f>C59+D59+E59</f>
        <v>#REF!</v>
      </c>
    </row>
    <row r="74" spans="1:8" ht="24.95" customHeight="1" x14ac:dyDescent="0.2">
      <c r="A74" s="298"/>
      <c r="B74" s="300"/>
      <c r="C74" s="300"/>
      <c r="D74" s="300"/>
      <c r="E74" s="300"/>
    </row>
    <row r="75" spans="1:8" ht="24.75" customHeight="1" x14ac:dyDescent="0.2">
      <c r="A75" s="298"/>
      <c r="B75" s="300"/>
      <c r="C75" s="300"/>
      <c r="D75" s="300"/>
      <c r="E75" s="301" t="s">
        <v>233</v>
      </c>
    </row>
    <row r="76" spans="1:8" ht="24.75" customHeight="1" x14ac:dyDescent="0.2">
      <c r="A76" s="122"/>
      <c r="B76" s="122"/>
      <c r="C76" s="122"/>
      <c r="D76" s="122"/>
      <c r="E76" s="278" t="s">
        <v>28</v>
      </c>
    </row>
    <row r="77" spans="1:8" ht="24.95" customHeight="1" x14ac:dyDescent="0.2">
      <c r="A77" s="671" t="s">
        <v>190</v>
      </c>
      <c r="B77" s="239" t="s">
        <v>1</v>
      </c>
      <c r="C77" s="239" t="s">
        <v>191</v>
      </c>
      <c r="D77" s="239" t="s">
        <v>192</v>
      </c>
      <c r="E77" s="239" t="s">
        <v>193</v>
      </c>
    </row>
    <row r="78" spans="1:8" s="240" customFormat="1" ht="24.95" customHeight="1" x14ac:dyDescent="0.2">
      <c r="A78" s="671"/>
      <c r="B78" s="239" t="s">
        <v>2</v>
      </c>
      <c r="C78" s="239" t="s">
        <v>2</v>
      </c>
      <c r="D78" s="239" t="s">
        <v>2</v>
      </c>
      <c r="E78" s="239" t="s">
        <v>2</v>
      </c>
    </row>
    <row r="79" spans="1:8" ht="24.95" customHeight="1" x14ac:dyDescent="0.2">
      <c r="A79" s="293" t="s">
        <v>182</v>
      </c>
      <c r="B79" s="294"/>
      <c r="C79" s="294"/>
      <c r="D79" s="294"/>
      <c r="E79" s="294"/>
    </row>
    <row r="80" spans="1:8" ht="24.95" customHeight="1" x14ac:dyDescent="0.2">
      <c r="A80" s="281" t="s">
        <v>194</v>
      </c>
      <c r="B80" s="282" t="e">
        <f t="shared" ref="B80:B86" si="24">SUM(C80:E80)</f>
        <v>#REF!</v>
      </c>
      <c r="C80" s="282" t="e">
        <f>C81+C84+C87+C91</f>
        <v>#REF!</v>
      </c>
      <c r="D80" s="282" t="e">
        <f>D81+D84+D87+D91</f>
        <v>#REF!</v>
      </c>
      <c r="E80" s="282" t="e">
        <f>E81+E84+E87+E91</f>
        <v>#REF!</v>
      </c>
    </row>
    <row r="81" spans="1:8" ht="24.95" customHeight="1" x14ac:dyDescent="0.2">
      <c r="A81" s="283" t="s">
        <v>207</v>
      </c>
      <c r="B81" s="284" t="e">
        <f t="shared" si="24"/>
        <v>#REF!</v>
      </c>
      <c r="C81" s="284" t="e">
        <f>SUM(C82:C83)</f>
        <v>#REF!</v>
      </c>
      <c r="D81" s="284" t="e">
        <f>SUM(D82:D83)</f>
        <v>#REF!</v>
      </c>
      <c r="E81" s="284" t="e">
        <f>SUM(E82:E83)</f>
        <v>#REF!</v>
      </c>
    </row>
    <row r="82" spans="1:8" ht="24.95" customHeight="1" x14ac:dyDescent="0.2">
      <c r="A82" s="285" t="s">
        <v>48</v>
      </c>
      <c r="B82" s="286" t="e">
        <f t="shared" si="24"/>
        <v>#REF!</v>
      </c>
      <c r="C82" s="286" t="e">
        <f>'สงม. 2 โยธา'!#REF!</f>
        <v>#REF!</v>
      </c>
      <c r="D82" s="286" t="e">
        <f>'สงม. 2 โยธา'!#REF!</f>
        <v>#REF!</v>
      </c>
      <c r="E82" s="286" t="e">
        <f>'สงม. 2 โยธา'!#REF!</f>
        <v>#REF!</v>
      </c>
    </row>
    <row r="83" spans="1:8" ht="24.95" customHeight="1" x14ac:dyDescent="0.2">
      <c r="A83" s="285" t="s">
        <v>49</v>
      </c>
      <c r="B83" s="286">
        <f t="shared" si="24"/>
        <v>1318400</v>
      </c>
      <c r="C83" s="286">
        <f>'สงม. 2 โยธา'!D11</f>
        <v>587400</v>
      </c>
      <c r="D83" s="286">
        <f>'สงม. 2 โยธา'!E11</f>
        <v>369600</v>
      </c>
      <c r="E83" s="286">
        <f>'สงม. 2 โยธา'!F11</f>
        <v>361400</v>
      </c>
    </row>
    <row r="84" spans="1:8" ht="24.95" customHeight="1" x14ac:dyDescent="0.2">
      <c r="A84" s="283" t="s">
        <v>208</v>
      </c>
      <c r="B84" s="284" t="e">
        <f t="shared" si="24"/>
        <v>#REF!</v>
      </c>
      <c r="C84" s="284" t="e">
        <f>SUM(C85:C86)</f>
        <v>#REF!</v>
      </c>
      <c r="D84" s="284" t="e">
        <f>SUM(D85:D86)</f>
        <v>#REF!</v>
      </c>
      <c r="E84" s="284" t="e">
        <f>SUM(E85:E86)</f>
        <v>#REF!</v>
      </c>
    </row>
    <row r="85" spans="1:8" ht="24.95" customHeight="1" x14ac:dyDescent="0.2">
      <c r="A85" s="285" t="s">
        <v>48</v>
      </c>
      <c r="B85" s="286" t="e">
        <f t="shared" si="24"/>
        <v>#REF!</v>
      </c>
      <c r="C85" s="286" t="e">
        <f>'สงม. 2 โยธา'!#REF!</f>
        <v>#REF!</v>
      </c>
      <c r="D85" s="286" t="e">
        <f>'สงม. 2 โยธา'!#REF!</f>
        <v>#REF!</v>
      </c>
      <c r="E85" s="286" t="e">
        <f>'สงม. 2 โยธา'!#REF!</f>
        <v>#REF!</v>
      </c>
    </row>
    <row r="86" spans="1:8" ht="24.95" customHeight="1" x14ac:dyDescent="0.2">
      <c r="A86" s="285" t="s">
        <v>49</v>
      </c>
      <c r="B86" s="286">
        <f t="shared" si="24"/>
        <v>450000</v>
      </c>
      <c r="C86" s="286">
        <f>'สงม. 2 โยธา'!D41</f>
        <v>450000</v>
      </c>
      <c r="D86" s="286">
        <f>'สงม. 2 โยธา'!E41</f>
        <v>0</v>
      </c>
      <c r="E86" s="286">
        <f>'สงม. 2 โยธา'!F41</f>
        <v>0</v>
      </c>
    </row>
    <row r="87" spans="1:8" ht="24.95" customHeight="1" x14ac:dyDescent="0.2">
      <c r="A87" s="283" t="s">
        <v>209</v>
      </c>
      <c r="B87" s="284" t="e">
        <f t="shared" ref="B87:B93" si="25">SUM(C87:E87)</f>
        <v>#REF!</v>
      </c>
      <c r="C87" s="284" t="e">
        <f>SUM(C88:C90)</f>
        <v>#REF!</v>
      </c>
      <c r="D87" s="284" t="e">
        <f t="shared" ref="D87:E87" si="26">SUM(D88:D90)</f>
        <v>#REF!</v>
      </c>
      <c r="E87" s="284" t="e">
        <f t="shared" si="26"/>
        <v>#REF!</v>
      </c>
    </row>
    <row r="88" spans="1:8" ht="24.95" customHeight="1" x14ac:dyDescent="0.2">
      <c r="A88" s="285" t="s">
        <v>48</v>
      </c>
      <c r="B88" s="286" t="e">
        <f t="shared" si="25"/>
        <v>#REF!</v>
      </c>
      <c r="C88" s="286" t="e">
        <f>'สงม. 2 โยธา'!#REF!</f>
        <v>#REF!</v>
      </c>
      <c r="D88" s="286" t="e">
        <f>'สงม. 2 โยธา'!#REF!</f>
        <v>#REF!</v>
      </c>
      <c r="E88" s="286" t="e">
        <f>'สงม. 2 โยธา'!#REF!</f>
        <v>#REF!</v>
      </c>
    </row>
    <row r="89" spans="1:8" ht="24.95" customHeight="1" x14ac:dyDescent="0.2">
      <c r="A89" s="285" t="s">
        <v>49</v>
      </c>
      <c r="B89" s="286">
        <f t="shared" si="25"/>
        <v>19000000</v>
      </c>
      <c r="C89" s="286">
        <f>'สงม. 2 โยธา'!D66</f>
        <v>16500000</v>
      </c>
      <c r="D89" s="286">
        <f>'สงม. 2 โยธา'!E66</f>
        <v>2500000</v>
      </c>
      <c r="E89" s="286">
        <f>'สงม. 2 โยธา'!F66</f>
        <v>0</v>
      </c>
    </row>
    <row r="90" spans="1:8" ht="24.95" customHeight="1" x14ac:dyDescent="0.2">
      <c r="A90" s="285" t="s">
        <v>53</v>
      </c>
      <c r="B90" s="286" t="e">
        <f t="shared" si="25"/>
        <v>#REF!</v>
      </c>
      <c r="C90" s="286" t="e">
        <f>'สงม. 2 โยธา'!#REF!</f>
        <v>#REF!</v>
      </c>
      <c r="D90" s="286" t="e">
        <f>'สงม. 2 โยธา'!#REF!</f>
        <v>#REF!</v>
      </c>
      <c r="E90" s="286" t="e">
        <f>'สงม. 2 โยธา'!#REF!</f>
        <v>#REF!</v>
      </c>
    </row>
    <row r="91" spans="1:8" ht="24.95" customHeight="1" x14ac:dyDescent="0.2">
      <c r="A91" s="283" t="s">
        <v>210</v>
      </c>
      <c r="B91" s="284" t="e">
        <f t="shared" si="25"/>
        <v>#REF!</v>
      </c>
      <c r="C91" s="284" t="e">
        <f>SUM(C92:C93)</f>
        <v>#REF!</v>
      </c>
      <c r="D91" s="284" t="e">
        <f t="shared" ref="D91" si="27">SUM(D92:D93)</f>
        <v>#REF!</v>
      </c>
      <c r="E91" s="284" t="e">
        <f t="shared" ref="E91" si="28">SUM(E92:E93)</f>
        <v>#REF!</v>
      </c>
    </row>
    <row r="92" spans="1:8" ht="24.95" customHeight="1" x14ac:dyDescent="0.2">
      <c r="A92" s="285" t="s">
        <v>48</v>
      </c>
      <c r="B92" s="286" t="e">
        <f t="shared" si="25"/>
        <v>#REF!</v>
      </c>
      <c r="C92" s="286" t="e">
        <f>'สงม. 2 โยธา'!#REF!</f>
        <v>#REF!</v>
      </c>
      <c r="D92" s="286" t="e">
        <f>'สงม. 2 โยธา'!#REF!</f>
        <v>#REF!</v>
      </c>
      <c r="E92" s="286" t="e">
        <f>'สงม. 2 โยธา'!#REF!</f>
        <v>#REF!</v>
      </c>
      <c r="G92" s="287" t="e">
        <f>'สงม.1 (แยกฝ่าย)'!B181</f>
        <v>#REF!</v>
      </c>
      <c r="H92" s="287" t="e">
        <f>'สงม.1 (แยกฝ่าย)'!C181+'สงม.1 (แยกฝ่าย)'!D181+'สงม.1 (แยกฝ่าย)'!E181</f>
        <v>#REF!</v>
      </c>
    </row>
    <row r="93" spans="1:8" ht="24.95" customHeight="1" x14ac:dyDescent="0.2">
      <c r="A93" s="285" t="s">
        <v>49</v>
      </c>
      <c r="B93" s="286">
        <f t="shared" si="25"/>
        <v>4680100</v>
      </c>
      <c r="C93" s="286">
        <f>'สงม. 2 โยธา'!D92</f>
        <v>4039310</v>
      </c>
      <c r="D93" s="286">
        <f>'สงม. 2 โยธา'!E92</f>
        <v>325000</v>
      </c>
      <c r="E93" s="286">
        <f>'สงม. 2 โยธา'!F92</f>
        <v>315790</v>
      </c>
      <c r="G93" s="287" t="e">
        <f>B80</f>
        <v>#REF!</v>
      </c>
      <c r="H93" s="287" t="e">
        <f>C80+D80+E80</f>
        <v>#REF!</v>
      </c>
    </row>
    <row r="94" spans="1:8" ht="24.95" customHeight="1" x14ac:dyDescent="0.2">
      <c r="A94" s="279" t="s">
        <v>184</v>
      </c>
      <c r="B94" s="280"/>
      <c r="C94" s="280"/>
      <c r="D94" s="280"/>
      <c r="E94" s="280"/>
    </row>
    <row r="95" spans="1:8" ht="24.95" customHeight="1" x14ac:dyDescent="0.2">
      <c r="A95" s="281" t="s">
        <v>194</v>
      </c>
      <c r="B95" s="282" t="e">
        <f t="shared" ref="B95:B103" si="29">SUM(C95:E95)</f>
        <v>#REF!</v>
      </c>
      <c r="C95" s="282" t="e">
        <f>C96+C99</f>
        <v>#REF!</v>
      </c>
      <c r="D95" s="282" t="e">
        <f t="shared" ref="D95:E95" si="30">D96+D99</f>
        <v>#REF!</v>
      </c>
      <c r="E95" s="282" t="e">
        <f t="shared" si="30"/>
        <v>#REF!</v>
      </c>
    </row>
    <row r="96" spans="1:8" ht="24.95" customHeight="1" x14ac:dyDescent="0.2">
      <c r="A96" s="283" t="s">
        <v>211</v>
      </c>
      <c r="B96" s="284" t="e">
        <f t="shared" si="29"/>
        <v>#REF!</v>
      </c>
      <c r="C96" s="284" t="e">
        <f>SUM(C97:C98)</f>
        <v>#REF!</v>
      </c>
      <c r="D96" s="284" t="e">
        <f t="shared" ref="D96" si="31">SUM(D97:D98)</f>
        <v>#REF!</v>
      </c>
      <c r="E96" s="284" t="e">
        <f t="shared" ref="E96" si="32">SUM(E97:E98)</f>
        <v>#REF!</v>
      </c>
    </row>
    <row r="97" spans="1:8" ht="24.95" customHeight="1" x14ac:dyDescent="0.2">
      <c r="A97" s="285" t="s">
        <v>48</v>
      </c>
      <c r="B97" s="286" t="e">
        <f t="shared" si="29"/>
        <v>#REF!</v>
      </c>
      <c r="C97" s="286" t="e">
        <f>'สงม. 2 พัฒนาชุมชน'!#REF!</f>
        <v>#REF!</v>
      </c>
      <c r="D97" s="286" t="e">
        <f>'สงม. 2 พัฒนาชุมชน'!#REF!</f>
        <v>#REF!</v>
      </c>
      <c r="E97" s="286" t="e">
        <f>'สงม. 2 พัฒนาชุมชน'!#REF!</f>
        <v>#REF!</v>
      </c>
    </row>
    <row r="98" spans="1:8" ht="24.95" customHeight="1" x14ac:dyDescent="0.2">
      <c r="A98" s="285" t="s">
        <v>49</v>
      </c>
      <c r="B98" s="286">
        <f t="shared" si="29"/>
        <v>19238300</v>
      </c>
      <c r="C98" s="286">
        <f>'สงม. 2 พัฒนาชุมชน'!D11</f>
        <v>7163900</v>
      </c>
      <c r="D98" s="286">
        <f>'สงม. 2 พัฒนาชุมชน'!E11</f>
        <v>6060600</v>
      </c>
      <c r="E98" s="286">
        <f>'สงม. 2 พัฒนาชุมชน'!F11</f>
        <v>6013800</v>
      </c>
    </row>
    <row r="99" spans="1:8" ht="24.95" customHeight="1" x14ac:dyDescent="0.2">
      <c r="A99" s="283" t="s">
        <v>212</v>
      </c>
      <c r="B99" s="284" t="e">
        <f t="shared" si="29"/>
        <v>#REF!</v>
      </c>
      <c r="C99" s="284" t="e">
        <f>SUM(C100:C102)</f>
        <v>#REF!</v>
      </c>
      <c r="D99" s="284" t="e">
        <f t="shared" ref="D99:E99" si="33">SUM(D100:D102)</f>
        <v>#REF!</v>
      </c>
      <c r="E99" s="284" t="e">
        <f t="shared" si="33"/>
        <v>#REF!</v>
      </c>
    </row>
    <row r="100" spans="1:8" ht="24.95" customHeight="1" x14ac:dyDescent="0.2">
      <c r="A100" s="285" t="s">
        <v>48</v>
      </c>
      <c r="B100" s="286" t="e">
        <f t="shared" si="29"/>
        <v>#REF!</v>
      </c>
      <c r="C100" s="286" t="e">
        <f>'สงม. 2 พัฒนาชุมชน'!#REF!</f>
        <v>#REF!</v>
      </c>
      <c r="D100" s="286" t="e">
        <f>'สงม. 2 พัฒนาชุมชน'!#REF!</f>
        <v>#REF!</v>
      </c>
      <c r="E100" s="286" t="e">
        <f>'สงม. 2 พัฒนาชุมชน'!#REF!</f>
        <v>#REF!</v>
      </c>
    </row>
    <row r="101" spans="1:8" ht="24.95" customHeight="1" x14ac:dyDescent="0.2">
      <c r="A101" s="285" t="s">
        <v>49</v>
      </c>
      <c r="B101" s="286">
        <f t="shared" si="29"/>
        <v>5327900</v>
      </c>
      <c r="C101" s="286">
        <f>'สงม. 2 พัฒนาชุมชน'!D62</f>
        <v>1786000</v>
      </c>
      <c r="D101" s="286">
        <f>'สงม. 2 พัฒนาชุมชน'!E62</f>
        <v>1786000</v>
      </c>
      <c r="E101" s="286">
        <f>'สงม. 2 พัฒนาชุมชน'!F62</f>
        <v>1755900</v>
      </c>
    </row>
    <row r="102" spans="1:8" ht="24.95" customHeight="1" x14ac:dyDescent="0.2">
      <c r="A102" s="285" t="s">
        <v>53</v>
      </c>
      <c r="B102" s="286" t="e">
        <f t="shared" si="29"/>
        <v>#REF!</v>
      </c>
      <c r="C102" s="286" t="e">
        <f>'สงม. 2 พัฒนาชุมชน'!D72+'สงม. 2 พัฒนาชุมชน'!#REF!+'สงม. 2 พัฒนาชุมชน'!#REF!+'สงม. 2 พัฒนาชุมชน'!D74+'สงม. 2 พัฒนาชุมชน'!#REF!+'สงม. 2 พัฒนาชุมชน'!#REF!+'สงม. 2 พัฒนาชุมชน'!#REF!+'สงม. 2 พัฒนาชุมชน'!D80+'สงม. 2 พัฒนาชุมชน'!D82+'สงม. 2 พัฒนาชุมชน'!D84</f>
        <v>#REF!</v>
      </c>
      <c r="D102" s="286" t="e">
        <f>'สงม. 2 พัฒนาชุมชน'!E72+'สงม. 2 พัฒนาชุมชน'!#REF!+'สงม. 2 พัฒนาชุมชน'!#REF!+'สงม. 2 พัฒนาชุมชน'!E74+'สงม. 2 พัฒนาชุมชน'!#REF!+'สงม. 2 พัฒนาชุมชน'!#REF!+'สงม. 2 พัฒนาชุมชน'!#REF!+'สงม. 2 พัฒนาชุมชน'!E80+'สงม. 2 พัฒนาชุมชน'!E82+'สงม. 2 พัฒนาชุมชน'!E84</f>
        <v>#REF!</v>
      </c>
      <c r="E102" s="286" t="e">
        <f>'สงม. 2 พัฒนาชุมชน'!F72+'สงม. 2 พัฒนาชุมชน'!#REF!+'สงม. 2 พัฒนาชุมชน'!#REF!+'สงม. 2 พัฒนาชุมชน'!F74+'สงม. 2 พัฒนาชุมชน'!#REF!+'สงม. 2 พัฒนาชุมชน'!#REF!+'สงม. 2 พัฒนาชุมชน'!#REF!+'สงม. 2 พัฒนาชุมชน'!F80+'สงม. 2 พัฒนาชุมชน'!F82+'สงม. 2 พัฒนาชุมชน'!F84</f>
        <v>#REF!</v>
      </c>
      <c r="G102" s="287" t="e">
        <f>'สงม.1 (แยกฝ่าย)'!B194+'สงม.1 (แยกฝ่าย)'!B200</f>
        <v>#REF!</v>
      </c>
      <c r="H102" s="287" t="e">
        <f>'สงม.1 (แยกฝ่าย)'!C201+'สงม.1 (แยกฝ่าย)'!D201+'สงม.1 (แยกฝ่าย)'!E201</f>
        <v>#REF!</v>
      </c>
    </row>
    <row r="103" spans="1:8" ht="24.95" customHeight="1" x14ac:dyDescent="0.2">
      <c r="A103" s="288" t="s">
        <v>197</v>
      </c>
      <c r="B103" s="282" t="e">
        <f t="shared" si="29"/>
        <v>#REF!</v>
      </c>
      <c r="C103" s="282" t="e">
        <f>'สงม. 2 พัฒนาชุมชน'!D87+'สงม. 2 พัฒนาชุมชน'!#REF!</f>
        <v>#REF!</v>
      </c>
      <c r="D103" s="282" t="e">
        <f>'สงม. 2 พัฒนาชุมชน'!E87+'สงม. 2 พัฒนาชุมชน'!#REF!</f>
        <v>#REF!</v>
      </c>
      <c r="E103" s="282" t="e">
        <f>'สงม. 2 พัฒนาชุมชน'!F87+'สงม. 2 พัฒนาชุมชน'!#REF!</f>
        <v>#REF!</v>
      </c>
      <c r="G103" s="287" t="e">
        <f>B95+B103</f>
        <v>#REF!</v>
      </c>
      <c r="H103" s="287" t="e">
        <f>C103+D103+E103+C95+D95+E95</f>
        <v>#REF!</v>
      </c>
    </row>
    <row r="112" spans="1:8" x14ac:dyDescent="0.2">
      <c r="A112" s="298"/>
      <c r="B112" s="300"/>
      <c r="C112" s="300"/>
      <c r="D112" s="300"/>
      <c r="E112" s="301" t="s">
        <v>234</v>
      </c>
    </row>
    <row r="113" spans="1:8" ht="24.95" customHeight="1" x14ac:dyDescent="0.2">
      <c r="A113" s="122"/>
      <c r="B113" s="122"/>
      <c r="C113" s="122"/>
      <c r="D113" s="122"/>
      <c r="E113" s="278" t="s">
        <v>28</v>
      </c>
    </row>
    <row r="114" spans="1:8" ht="24.95" customHeight="1" x14ac:dyDescent="0.2">
      <c r="A114" s="671" t="s">
        <v>190</v>
      </c>
      <c r="B114" s="239" t="s">
        <v>1</v>
      </c>
      <c r="C114" s="239" t="s">
        <v>191</v>
      </c>
      <c r="D114" s="239" t="s">
        <v>192</v>
      </c>
      <c r="E114" s="239" t="s">
        <v>193</v>
      </c>
    </row>
    <row r="115" spans="1:8" s="240" customFormat="1" ht="24.95" customHeight="1" x14ac:dyDescent="0.2">
      <c r="A115" s="671"/>
      <c r="B115" s="239" t="s">
        <v>2</v>
      </c>
      <c r="C115" s="239" t="s">
        <v>2</v>
      </c>
      <c r="D115" s="239" t="s">
        <v>2</v>
      </c>
      <c r="E115" s="239" t="s">
        <v>2</v>
      </c>
    </row>
    <row r="116" spans="1:8" ht="24.95" customHeight="1" x14ac:dyDescent="0.2">
      <c r="A116" s="279" t="s">
        <v>213</v>
      </c>
      <c r="B116" s="280"/>
      <c r="C116" s="280"/>
      <c r="D116" s="280"/>
      <c r="E116" s="280"/>
    </row>
    <row r="117" spans="1:8" ht="24.95" customHeight="1" x14ac:dyDescent="0.2">
      <c r="A117" s="281" t="s">
        <v>194</v>
      </c>
      <c r="B117" s="282" t="e">
        <f t="shared" ref="B117:B127" si="34">SUM(C117:E117)</f>
        <v>#REF!</v>
      </c>
      <c r="C117" s="282" t="e">
        <f>C118+C121+C124</f>
        <v>#REF!</v>
      </c>
      <c r="D117" s="282" t="e">
        <f>D118+D121+D124</f>
        <v>#REF!</v>
      </c>
      <c r="E117" s="282" t="e">
        <f>E118+E121+E124</f>
        <v>#REF!</v>
      </c>
    </row>
    <row r="118" spans="1:8" ht="24.95" customHeight="1" x14ac:dyDescent="0.2">
      <c r="A118" s="283" t="s">
        <v>214</v>
      </c>
      <c r="B118" s="284" t="e">
        <f t="shared" si="34"/>
        <v>#REF!</v>
      </c>
      <c r="C118" s="284" t="e">
        <f>SUM(C119:C120)</f>
        <v>#REF!</v>
      </c>
      <c r="D118" s="284" t="e">
        <f>SUM(D119:D120)</f>
        <v>#REF!</v>
      </c>
      <c r="E118" s="284" t="e">
        <f>SUM(E119:E120)</f>
        <v>#REF!</v>
      </c>
    </row>
    <row r="119" spans="1:8" ht="24.95" customHeight="1" x14ac:dyDescent="0.2">
      <c r="A119" s="285" t="s">
        <v>48</v>
      </c>
      <c r="B119" s="286" t="e">
        <f t="shared" si="34"/>
        <v>#REF!</v>
      </c>
      <c r="C119" s="286" t="e">
        <f>'สงม. 2 สวล.'!#REF!</f>
        <v>#REF!</v>
      </c>
      <c r="D119" s="286" t="e">
        <f>'สงม. 2 สวล.'!#REF!</f>
        <v>#REF!</v>
      </c>
      <c r="E119" s="286" t="e">
        <f>'สงม. 2 สวล.'!#REF!</f>
        <v>#REF!</v>
      </c>
    </row>
    <row r="120" spans="1:8" ht="24.95" customHeight="1" x14ac:dyDescent="0.2">
      <c r="A120" s="285" t="s">
        <v>49</v>
      </c>
      <c r="B120" s="286">
        <f t="shared" si="34"/>
        <v>419000</v>
      </c>
      <c r="C120" s="286">
        <f>'สงม. 2 สวล.'!D11</f>
        <v>369000</v>
      </c>
      <c r="D120" s="286">
        <f>'สงม. 2 สวล.'!E11</f>
        <v>0</v>
      </c>
      <c r="E120" s="286">
        <f>'สงม. 2 สวล.'!F11</f>
        <v>50000</v>
      </c>
    </row>
    <row r="121" spans="1:8" ht="24.95" customHeight="1" x14ac:dyDescent="0.2">
      <c r="A121" s="283" t="s">
        <v>215</v>
      </c>
      <c r="B121" s="284" t="e">
        <f t="shared" si="34"/>
        <v>#REF!</v>
      </c>
      <c r="C121" s="284" t="e">
        <f>SUM(C122:C123)</f>
        <v>#REF!</v>
      </c>
      <c r="D121" s="284" t="e">
        <f>SUM(D122:D123)</f>
        <v>#REF!</v>
      </c>
      <c r="E121" s="284" t="e">
        <f>SUM(E122:E123)</f>
        <v>#REF!</v>
      </c>
    </row>
    <row r="122" spans="1:8" ht="24.95" customHeight="1" x14ac:dyDescent="0.2">
      <c r="A122" s="285" t="s">
        <v>48</v>
      </c>
      <c r="B122" s="286" t="e">
        <f t="shared" si="34"/>
        <v>#REF!</v>
      </c>
      <c r="C122" s="286" t="e">
        <f>'สงม. 2 สวล.'!#REF!</f>
        <v>#REF!</v>
      </c>
      <c r="D122" s="286" t="e">
        <f>'สงม. 2 สวล.'!#REF!</f>
        <v>#REF!</v>
      </c>
      <c r="E122" s="286" t="e">
        <f>'สงม. 2 สวล.'!#REF!</f>
        <v>#REF!</v>
      </c>
    </row>
    <row r="123" spans="1:8" ht="24.95" customHeight="1" x14ac:dyDescent="0.2">
      <c r="A123" s="285" t="s">
        <v>49</v>
      </c>
      <c r="B123" s="286">
        <f t="shared" si="34"/>
        <v>255600</v>
      </c>
      <c r="C123" s="286">
        <f>'สงม. 2 สวล.'!D39</f>
        <v>230500</v>
      </c>
      <c r="D123" s="286">
        <f>'สงม. 2 สวล.'!E39</f>
        <v>14500</v>
      </c>
      <c r="E123" s="286">
        <f>'สงม. 2 สวล.'!F39</f>
        <v>10600</v>
      </c>
    </row>
    <row r="124" spans="1:8" ht="24.95" customHeight="1" x14ac:dyDescent="0.2">
      <c r="A124" s="283" t="s">
        <v>216</v>
      </c>
      <c r="B124" s="284" t="e">
        <f t="shared" si="34"/>
        <v>#REF!</v>
      </c>
      <c r="C124" s="284" t="e">
        <f>SUM(C125:C126)</f>
        <v>#REF!</v>
      </c>
      <c r="D124" s="284" t="e">
        <f>SUM(D125:D126)</f>
        <v>#REF!</v>
      </c>
      <c r="E124" s="284" t="e">
        <f>SUM(E125:E126)</f>
        <v>#REF!</v>
      </c>
    </row>
    <row r="125" spans="1:8" ht="24.95" customHeight="1" x14ac:dyDescent="0.2">
      <c r="A125" s="285" t="s">
        <v>48</v>
      </c>
      <c r="B125" s="286" t="e">
        <f t="shared" si="34"/>
        <v>#REF!</v>
      </c>
      <c r="C125" s="286" t="e">
        <f>'สงม. 2 สวล.'!#REF!</f>
        <v>#REF!</v>
      </c>
      <c r="D125" s="286" t="e">
        <f>'สงม. 2 สวล.'!#REF!</f>
        <v>#REF!</v>
      </c>
      <c r="E125" s="286" t="e">
        <f>'สงม. 2 สวล.'!#REF!</f>
        <v>#REF!</v>
      </c>
    </row>
    <row r="126" spans="1:8" ht="24.95" customHeight="1" x14ac:dyDescent="0.2">
      <c r="A126" s="285" t="s">
        <v>49</v>
      </c>
      <c r="B126" s="286">
        <f t="shared" si="34"/>
        <v>306300</v>
      </c>
      <c r="C126" s="286">
        <f>'สงม. 2 สวล.'!D66</f>
        <v>306300</v>
      </c>
      <c r="D126" s="286">
        <f>'สงม. 2 สวล.'!E66</f>
        <v>0</v>
      </c>
      <c r="E126" s="286">
        <f>'สงม. 2 สวล.'!F66</f>
        <v>0</v>
      </c>
      <c r="G126" s="287" t="e">
        <f>'สงม.1 (แยกฝ่าย)'!B228</f>
        <v>#REF!</v>
      </c>
      <c r="H126" s="287" t="e">
        <f>'สงม.1 (แยกฝ่าย)'!C228+'สงม.1 (แยกฝ่าย)'!D228+'สงม.1 (แยกฝ่าย)'!E228</f>
        <v>#REF!</v>
      </c>
    </row>
    <row r="127" spans="1:8" ht="24.95" customHeight="1" x14ac:dyDescent="0.2">
      <c r="A127" s="288" t="s">
        <v>197</v>
      </c>
      <c r="B127" s="282" t="e">
        <f t="shared" si="34"/>
        <v>#REF!</v>
      </c>
      <c r="C127" s="282" t="e">
        <f>'สงม. 2 สวล.'!#REF!+'สงม. 2 สวล.'!#REF!+'สงม. 2 สวล.'!#REF!+โครงยุทธศาสตร์!D26</f>
        <v>#REF!</v>
      </c>
      <c r="D127" s="282" t="e">
        <f>'สงม. 2 สวล.'!#REF!+'สงม. 2 สวล.'!#REF!+'สงม. 2 สวล.'!#REF!+โครงยุทธศาสตร์!E26</f>
        <v>#REF!</v>
      </c>
      <c r="E127" s="282" t="e">
        <f>'สงม. 2 สวล.'!#REF!+'สงม. 2 สวล.'!#REF!+'สงม. 2 สวล.'!#REF!+โครงยุทธศาสตร์!F26</f>
        <v>#REF!</v>
      </c>
      <c r="G127" s="287" t="e">
        <f>B117+B127</f>
        <v>#REF!</v>
      </c>
      <c r="H127" s="287" t="e">
        <f>C127+D127+E127+C117+D117+E117</f>
        <v>#REF!</v>
      </c>
    </row>
    <row r="128" spans="1:8" ht="24.95" customHeight="1" x14ac:dyDescent="0.2">
      <c r="A128" s="279" t="s">
        <v>217</v>
      </c>
      <c r="B128" s="280"/>
      <c r="C128" s="280"/>
      <c r="D128" s="280"/>
      <c r="E128" s="280"/>
    </row>
    <row r="129" spans="1:8" ht="24.95" customHeight="1" x14ac:dyDescent="0.2">
      <c r="A129" s="281" t="s">
        <v>194</v>
      </c>
      <c r="B129" s="282" t="e">
        <f>SUM(C129:E129)</f>
        <v>#REF!</v>
      </c>
      <c r="C129" s="282" t="e">
        <f>C130+C134</f>
        <v>#REF!</v>
      </c>
      <c r="D129" s="282" t="e">
        <f t="shared" ref="D129:E129" si="35">D130+D134</f>
        <v>#REF!</v>
      </c>
      <c r="E129" s="282" t="e">
        <f t="shared" si="35"/>
        <v>#REF!</v>
      </c>
    </row>
    <row r="130" spans="1:8" ht="24.95" customHeight="1" x14ac:dyDescent="0.2">
      <c r="A130" s="283" t="s">
        <v>218</v>
      </c>
      <c r="B130" s="284" t="e">
        <f t="shared" ref="B130:B139" si="36">SUM(C130:E130)</f>
        <v>#REF!</v>
      </c>
      <c r="C130" s="284" t="e">
        <f>SUM(C131:C133)</f>
        <v>#REF!</v>
      </c>
      <c r="D130" s="284" t="e">
        <f t="shared" ref="D130:E130" si="37">SUM(D131:D133)</f>
        <v>#REF!</v>
      </c>
      <c r="E130" s="284" t="e">
        <f t="shared" si="37"/>
        <v>#REF!</v>
      </c>
    </row>
    <row r="131" spans="1:8" ht="24.95" customHeight="1" x14ac:dyDescent="0.2">
      <c r="A131" s="285" t="s">
        <v>48</v>
      </c>
      <c r="B131" s="286" t="e">
        <f t="shared" si="36"/>
        <v>#REF!</v>
      </c>
      <c r="C131" s="286" t="e">
        <f>'สงม. 2 ศึกษา'!#REF!</f>
        <v>#REF!</v>
      </c>
      <c r="D131" s="286" t="e">
        <f>'สงม. 2 ศึกษา'!#REF!</f>
        <v>#REF!</v>
      </c>
      <c r="E131" s="286" t="e">
        <f>'สงม. 2 ศึกษา'!#REF!</f>
        <v>#REF!</v>
      </c>
    </row>
    <row r="132" spans="1:8" ht="24.95" customHeight="1" x14ac:dyDescent="0.2">
      <c r="A132" s="285" t="s">
        <v>49</v>
      </c>
      <c r="B132" s="286">
        <f t="shared" si="36"/>
        <v>22055100</v>
      </c>
      <c r="C132" s="286">
        <f>'สงม. 2 ศึกษา'!D11</f>
        <v>21057300</v>
      </c>
      <c r="D132" s="286">
        <f>'สงม. 2 ศึกษา'!E11</f>
        <v>897800</v>
      </c>
      <c r="E132" s="286">
        <f>'สงม. 2 ศึกษา'!F11</f>
        <v>100000</v>
      </c>
    </row>
    <row r="133" spans="1:8" ht="24.95" customHeight="1" x14ac:dyDescent="0.2">
      <c r="A133" s="285" t="s">
        <v>220</v>
      </c>
      <c r="B133" s="286" t="e">
        <f t="shared" si="36"/>
        <v>#REF!</v>
      </c>
      <c r="C133" s="286" t="e">
        <f>'สงม. 2 ศึกษา'!#REF!</f>
        <v>#REF!</v>
      </c>
      <c r="D133" s="286" t="e">
        <f>'สงม. 2 ศึกษา'!#REF!</f>
        <v>#REF!</v>
      </c>
      <c r="E133" s="286" t="e">
        <f>'สงม. 2 ศึกษา'!#REF!</f>
        <v>#REF!</v>
      </c>
    </row>
    <row r="134" spans="1:8" ht="24.95" customHeight="1" x14ac:dyDescent="0.2">
      <c r="A134" s="283" t="s">
        <v>219</v>
      </c>
      <c r="B134" s="284" t="e">
        <f t="shared" si="36"/>
        <v>#REF!</v>
      </c>
      <c r="C134" s="284" t="e">
        <f>SUM(C135:C138)</f>
        <v>#REF!</v>
      </c>
      <c r="D134" s="284" t="e">
        <f t="shared" ref="D134:E134" si="38">SUM(D135:D138)</f>
        <v>#REF!</v>
      </c>
      <c r="E134" s="284" t="e">
        <f t="shared" si="38"/>
        <v>#REF!</v>
      </c>
    </row>
    <row r="135" spans="1:8" ht="24.95" customHeight="1" x14ac:dyDescent="0.2">
      <c r="A135" s="285" t="s">
        <v>48</v>
      </c>
      <c r="B135" s="286" t="e">
        <f t="shared" si="36"/>
        <v>#REF!</v>
      </c>
      <c r="C135" s="286" t="e">
        <f>'สงม. 2 ศึกษา'!#REF!</f>
        <v>#REF!</v>
      </c>
      <c r="D135" s="286" t="e">
        <f>'สงม. 2 ศึกษา'!#REF!</f>
        <v>#REF!</v>
      </c>
      <c r="E135" s="286" t="e">
        <f>'สงม. 2 ศึกษา'!#REF!</f>
        <v>#REF!</v>
      </c>
    </row>
    <row r="136" spans="1:8" ht="24.95" customHeight="1" x14ac:dyDescent="0.2">
      <c r="A136" s="285" t="s">
        <v>49</v>
      </c>
      <c r="B136" s="286">
        <f t="shared" si="36"/>
        <v>40659500</v>
      </c>
      <c r="C136" s="286">
        <f>'สงม. 2 ศึกษา'!D65</f>
        <v>8099300</v>
      </c>
      <c r="D136" s="286">
        <f>'สงม. 2 ศึกษา'!E65</f>
        <v>24484200</v>
      </c>
      <c r="E136" s="286">
        <f>'สงม. 2 ศึกษา'!F65</f>
        <v>8076000</v>
      </c>
    </row>
    <row r="137" spans="1:8" ht="24.95" customHeight="1" x14ac:dyDescent="0.2">
      <c r="A137" s="285" t="s">
        <v>220</v>
      </c>
      <c r="B137" s="286">
        <f t="shared" si="36"/>
        <v>48810000</v>
      </c>
      <c r="C137" s="286">
        <f>'สงม. 2 ศึกษา'!D87</f>
        <v>29421000</v>
      </c>
      <c r="D137" s="286">
        <f>'สงม. 2 ศึกษา'!E87</f>
        <v>13000000</v>
      </c>
      <c r="E137" s="286">
        <f>'สงม. 2 ศึกษา'!F87</f>
        <v>6389000</v>
      </c>
    </row>
    <row r="138" spans="1:8" ht="24.95" customHeight="1" x14ac:dyDescent="0.2">
      <c r="A138" s="285" t="s">
        <v>221</v>
      </c>
      <c r="B138" s="286" t="e">
        <f t="shared" si="36"/>
        <v>#REF!</v>
      </c>
      <c r="C138" s="286" t="e">
        <f>'สงม. 2 ศึกษา'!#REF!+'สงม. 2 ศึกษา'!D93+'สงม. 2 ศึกษา'!D95+'สงม. 2 ศึกษา'!D97+'สงม. 2 ศึกษา'!#REF!+'สงม. 2 ศึกษา'!D101+'สงม. 2 ศึกษา'!D103+'สงม. 2 ศึกษา'!#REF!+'สงม. 2 ศึกษา'!D201</f>
        <v>#REF!</v>
      </c>
      <c r="D138" s="286" t="e">
        <f>'สงม. 2 ศึกษา'!#REF!+'สงม. 2 ศึกษา'!E93+'สงม. 2 ศึกษา'!E95+'สงม. 2 ศึกษา'!E97+'สงม. 2 ศึกษา'!#REF!+'สงม. 2 ศึกษา'!E101+'สงม. 2 ศึกษา'!E103+'สงม. 2 ศึกษา'!#REF!+'สงม. 2 ศึกษา'!E201</f>
        <v>#REF!</v>
      </c>
      <c r="E138" s="286" t="e">
        <f>'สงม. 2 ศึกษา'!#REF!+'สงม. 2 ศึกษา'!F93+'สงม. 2 ศึกษา'!F95+'สงม. 2 ศึกษา'!F97+'สงม. 2 ศึกษา'!#REF!+'สงม. 2 ศึกษา'!F101+'สงม. 2 ศึกษา'!F103+'สงม. 2 ศึกษา'!#REF!+'สงม. 2 ศึกษา'!F201</f>
        <v>#REF!</v>
      </c>
      <c r="G138" s="287" t="e">
        <f>'สงม.1 (แยกฝ่าย)'!B251</f>
        <v>#REF!</v>
      </c>
      <c r="H138" s="287" t="e">
        <f>'สงม.1 (แยกฝ่าย)'!C251+'สงม.1 (แยกฝ่าย)'!D251+'สงม.1 (แยกฝ่าย)'!E251</f>
        <v>#REF!</v>
      </c>
    </row>
    <row r="139" spans="1:8" ht="24.95" customHeight="1" x14ac:dyDescent="0.2">
      <c r="A139" s="288" t="s">
        <v>197</v>
      </c>
      <c r="B139" s="282" t="e">
        <f t="shared" si="36"/>
        <v>#REF!</v>
      </c>
      <c r="C139" s="282" t="e">
        <f>'สงม. 2 ศึกษา'!D107+'สงม. 2 ศึกษา'!#REF!+'สงม. 2 ศึกษา'!#REF!+'สงม. 2 ศึกษา'!#REF!+'สงม. 2 ศึกษา'!#REF!+'สงม. 2 ศึกษา'!D203+'สงม. 2 ศึกษา'!D205+'สงม. 2 ศึกษา'!D207+'สงม. 2 ศึกษา'!D209+'สงม. 2 ศึกษา'!#REF!+'สงม. 2 ศึกษา'!#REF!+'สงม. 2 ศึกษา'!#REF!+'สงม. 2 ศึกษา'!D105+'สงม. 2 ศึกษา'!D109</f>
        <v>#REF!</v>
      </c>
      <c r="D139" s="282" t="e">
        <f>'สงม. 2 ศึกษา'!E107+'สงม. 2 ศึกษา'!#REF!+'สงม. 2 ศึกษา'!#REF!+'สงม. 2 ศึกษา'!#REF!+'สงม. 2 ศึกษา'!#REF!+'สงม. 2 ศึกษา'!E203+'สงม. 2 ศึกษา'!E205+'สงม. 2 ศึกษา'!E207+'สงม. 2 ศึกษา'!E209+'สงม. 2 ศึกษา'!#REF!+'สงม. 2 ศึกษา'!#REF!+'สงม. 2 ศึกษา'!#REF!+'สงม. 2 ศึกษา'!E105+'สงม. 2 ศึกษา'!E109</f>
        <v>#REF!</v>
      </c>
      <c r="E139" s="282" t="e">
        <f>'สงม. 2 ศึกษา'!F107+'สงม. 2 ศึกษา'!#REF!+'สงม. 2 ศึกษา'!#REF!+'สงม. 2 ศึกษา'!#REF!+'สงม. 2 ศึกษา'!#REF!+'สงม. 2 ศึกษา'!F203+'สงม. 2 ศึกษา'!F205+'สงม. 2 ศึกษา'!F207+'สงม. 2 ศึกษา'!F209+'สงม. 2 ศึกษา'!#REF!+'สงม. 2 ศึกษา'!#REF!+'สงม. 2 ศึกษา'!#REF!+'สงม. 2 ศึกษา'!F105+'สงม. 2 ศึกษา'!F109</f>
        <v>#REF!</v>
      </c>
      <c r="G139" s="287" t="e">
        <f>B139+B129</f>
        <v>#REF!</v>
      </c>
      <c r="H139" s="287" t="e">
        <f>C139+D139+E139+C129+D129+E129</f>
        <v>#REF!</v>
      </c>
    </row>
    <row r="140" spans="1:8" ht="24.95" customHeight="1" x14ac:dyDescent="0.2">
      <c r="A140" s="225" t="s">
        <v>222</v>
      </c>
      <c r="B140" s="280" t="e">
        <f>B8+B18+B23+B28+B43+B59+B80+B95+B117+B129</f>
        <v>#REF!</v>
      </c>
      <c r="C140" s="280" t="e">
        <f>C8+C18+C23+C28+C43+C59+C80+C95+C117+C129</f>
        <v>#REF!</v>
      </c>
      <c r="D140" s="280" t="e">
        <f>D8+D18+D23+D28+D43+D59+D80+D95+D117+D129</f>
        <v>#REF!</v>
      </c>
      <c r="E140" s="280" t="e">
        <f>E8+E18+E23+E28+E43+E59+E80+E95+E117+E129</f>
        <v>#REF!</v>
      </c>
    </row>
    <row r="141" spans="1:8" ht="24.95" customHeight="1" x14ac:dyDescent="0.2">
      <c r="A141" s="225" t="s">
        <v>223</v>
      </c>
      <c r="B141" s="280" t="e">
        <f>B16+B53+B103+B127+B139</f>
        <v>#REF!</v>
      </c>
      <c r="C141" s="280" t="e">
        <f>C16+C53+C103+C127+C139</f>
        <v>#REF!</v>
      </c>
      <c r="D141" s="280" t="e">
        <f>D16+D53+D103+D127+D139</f>
        <v>#REF!</v>
      </c>
      <c r="E141" s="280" t="e">
        <f>E16+E53+E103+E127+E139</f>
        <v>#REF!</v>
      </c>
      <c r="H141" s="287" t="e">
        <f>H142+H151</f>
        <v>#REF!</v>
      </c>
    </row>
    <row r="142" spans="1:8" ht="24.95" customHeight="1" thickBot="1" x14ac:dyDescent="0.25">
      <c r="A142" s="289" t="s">
        <v>1</v>
      </c>
      <c r="B142" s="290" t="e">
        <f>B140+B141</f>
        <v>#REF!</v>
      </c>
      <c r="C142" s="290" t="e">
        <f t="shared" ref="C142:E142" si="39">C140+C141</f>
        <v>#REF!</v>
      </c>
      <c r="D142" s="290" t="e">
        <f t="shared" si="39"/>
        <v>#REF!</v>
      </c>
      <c r="E142" s="290" t="e">
        <f t="shared" si="39"/>
        <v>#REF!</v>
      </c>
      <c r="H142" s="287" t="e">
        <f>H143/4</f>
        <v>#REF!</v>
      </c>
    </row>
    <row r="143" spans="1:8" ht="24.95" customHeight="1" thickTop="1" x14ac:dyDescent="0.2">
      <c r="H143" s="287" t="e">
        <f>C150-H150</f>
        <v>#REF!</v>
      </c>
    </row>
    <row r="144" spans="1:8" ht="24.95" customHeight="1" x14ac:dyDescent="0.2">
      <c r="H144" s="287"/>
    </row>
    <row r="145" spans="1:8" ht="24.95" customHeight="1" x14ac:dyDescent="0.2">
      <c r="H145" s="287"/>
    </row>
    <row r="146" spans="1:8" ht="24.95" customHeight="1" x14ac:dyDescent="0.2">
      <c r="H146" s="287"/>
    </row>
    <row r="147" spans="1:8" ht="24.95" customHeight="1" x14ac:dyDescent="0.2">
      <c r="H147" s="287"/>
    </row>
    <row r="148" spans="1:8" ht="24.95" customHeight="1" x14ac:dyDescent="0.2">
      <c r="H148" s="287"/>
    </row>
    <row r="149" spans="1:8" ht="24.95" customHeight="1" x14ac:dyDescent="0.2">
      <c r="B149" s="239" t="s">
        <v>250</v>
      </c>
      <c r="C149" s="239" t="s">
        <v>251</v>
      </c>
      <c r="D149" s="239" t="s">
        <v>252</v>
      </c>
      <c r="H149" s="287"/>
    </row>
    <row r="150" spans="1:8" ht="24.95" customHeight="1" x14ac:dyDescent="0.2">
      <c r="A150" s="219" t="s">
        <v>247</v>
      </c>
      <c r="B150" s="324" t="e">
        <f>B10+B11+B13+B14+B20+B21+B25+B26+B30+B31+B45+B46+B48+B49+B51+B52+B55+B56+B61+B62+B64+B65+B82+B83+B85+B86+B88+B89+B92+B93+B97+B98+B100+B101+B119+B120+B122+B123+B125+B126+B131+B132+B135+B136</f>
        <v>#REF!</v>
      </c>
      <c r="C150" s="324" t="e">
        <f>C10+C11+C13+C14+C20+C21+C25+C26+C30+C31+C45+C46+C48+C49+C51+C52+C55+C56+C61+C62+C64+C65+C82+C83+C85+C86+C88+C89+C92+C93+C97+C98+C100+C101+C119+C120+C122+C123+C125+C126+C131+C132+C135+C136</f>
        <v>#REF!</v>
      </c>
      <c r="D150" s="328" t="e">
        <f>C150/4</f>
        <v>#REF!</v>
      </c>
      <c r="E150" s="287"/>
      <c r="G150" s="287" t="e">
        <f>SUM(B150:D150)</f>
        <v>#REF!</v>
      </c>
      <c r="H150" s="321" t="e">
        <f>'สงม. 2 ปกครอง'!D22+'สงม. 2 ปกครอง'!D21+'สงม. 2 ปกครอง'!#REF!+'สงม. 2 ปกครอง'!#REF!+'สงม. 2 ปกครอง'!D23+'สงม. 2 ปกครอง'!#REF!+'สงม. 2 ทะเบียน'!D19+'สงม. 2 คลัง'!D19+'สงม. 2 รายได้'!D19+'สงม. 2 รักษาฯ'!#REF!+'สงม. 2 รักษาฯ'!#REF!+'สงม. 2 รักษาฯ'!D116+'สงม. 2 สวล.'!#REF!+'สงม. 2 สวล.'!#REF!+'สงม. 2 สวล.'!#REF!+'สงม. 2 สวล.'!#REF!+'สงม. 2 สวล.'!D43+'สงม. 2 สวล.'!D71+'สงม. 2 สวล.'!#REF!+'สงม. 2 สวล.'!#REF!+'สงม. 2 ศึกษา'!#REF!+'สงม. 2 ศึกษา'!#REF!+'สงม. 2 ศึกษา'!D20+'สงม. 2 ศึกษา'!D19</f>
        <v>#REF!</v>
      </c>
    </row>
    <row r="151" spans="1:8" ht="24.95" customHeight="1" x14ac:dyDescent="0.2">
      <c r="A151" s="219" t="s">
        <v>248</v>
      </c>
      <c r="B151" s="325" t="e">
        <f>B137+B133</f>
        <v>#REF!</v>
      </c>
      <c r="C151" s="325" t="e">
        <f>C137+C133</f>
        <v>#REF!</v>
      </c>
      <c r="D151" s="329" t="e">
        <f t="shared" ref="D151:D153" si="40">C151/4</f>
        <v>#REF!</v>
      </c>
      <c r="E151" s="287"/>
      <c r="G151" s="287" t="e">
        <f>SUM(B151:D151)</f>
        <v>#REF!</v>
      </c>
      <c r="H151" s="322" t="e">
        <f>H150/12</f>
        <v>#REF!</v>
      </c>
    </row>
    <row r="152" spans="1:8" ht="24.95" customHeight="1" x14ac:dyDescent="0.2">
      <c r="A152" s="219" t="s">
        <v>249</v>
      </c>
      <c r="B152" s="326" t="e">
        <f>B15+B57+B90+B102+B138</f>
        <v>#REF!</v>
      </c>
      <c r="C152" s="326" t="e">
        <f>C15+C57+C90+C102+C138</f>
        <v>#REF!</v>
      </c>
      <c r="D152" s="330" t="e">
        <f t="shared" si="40"/>
        <v>#REF!</v>
      </c>
      <c r="E152" s="287"/>
      <c r="G152" s="287" t="e">
        <f>SUM(B152:D152)</f>
        <v>#REF!</v>
      </c>
    </row>
    <row r="153" spans="1:8" ht="24.95" customHeight="1" thickBot="1" x14ac:dyDescent="0.25">
      <c r="B153" s="327" t="e">
        <f>SUM(B150:B152)</f>
        <v>#REF!</v>
      </c>
      <c r="C153" s="327" t="e">
        <f>SUM(C150:C152)</f>
        <v>#REF!</v>
      </c>
      <c r="D153" s="331" t="e">
        <f t="shared" si="40"/>
        <v>#REF!</v>
      </c>
      <c r="E153" s="287" t="e">
        <f>SUM(B153:D153)</f>
        <v>#REF!</v>
      </c>
      <c r="G153" s="441" t="e">
        <f>SUM(G150:G152)</f>
        <v>#REF!</v>
      </c>
      <c r="H153" s="287" t="e">
        <f>C150/4</f>
        <v>#REF!</v>
      </c>
    </row>
    <row r="154" spans="1:8" ht="24.95" customHeight="1" thickTop="1" x14ac:dyDescent="0.2">
      <c r="B154" s="287"/>
      <c r="C154" s="287"/>
      <c r="D154" s="287"/>
      <c r="E154" s="287"/>
    </row>
    <row r="155" spans="1:8" ht="24.95" customHeight="1" x14ac:dyDescent="0.2">
      <c r="B155" s="287" t="e">
        <f>B156-'สงม.1 (แยกฝ่าย)'!B259</f>
        <v>#REF!</v>
      </c>
      <c r="C155" s="287" t="e">
        <f>C156-'สงม.1 (แยกฝ่าย)'!C259</f>
        <v>#REF!</v>
      </c>
      <c r="D155" s="287" t="e">
        <f>D156-'สงม.1 (แยกฝ่าย)'!D259</f>
        <v>#REF!</v>
      </c>
      <c r="E155" s="287" t="e">
        <f>E156-'สงม.1 (แยกฝ่าย)'!E259</f>
        <v>#REF!</v>
      </c>
    </row>
    <row r="156" spans="1:8" ht="24.95" customHeight="1" x14ac:dyDescent="0.2">
      <c r="B156" s="318" t="e">
        <f>B8+B16+B18+B23+B28+B43+B53+B59+B80+B95+B103+B117+B127+B129+B139</f>
        <v>#REF!</v>
      </c>
      <c r="C156" s="318" t="e">
        <f t="shared" ref="C156:E156" si="41">C8+C16+C18+C23+C28+C43+C53+C59+C80+C95+C103+C117+C127+C129+C139</f>
        <v>#REF!</v>
      </c>
      <c r="D156" s="318" t="e">
        <f t="shared" si="41"/>
        <v>#REF!</v>
      </c>
      <c r="E156" s="318" t="e">
        <f t="shared" si="41"/>
        <v>#REF!</v>
      </c>
    </row>
    <row r="157" spans="1:8" ht="24.95" customHeight="1" x14ac:dyDescent="0.2">
      <c r="H157" s="287" t="e">
        <f>C150-H150</f>
        <v>#REF!</v>
      </c>
    </row>
    <row r="158" spans="1:8" ht="24.95" customHeight="1" x14ac:dyDescent="0.2">
      <c r="B158" s="287"/>
      <c r="E158" s="287" t="e">
        <f>C156+D156+E156</f>
        <v>#REF!</v>
      </c>
      <c r="H158" s="287" t="e">
        <f>H157/4</f>
        <v>#REF!</v>
      </c>
    </row>
    <row r="159" spans="1:8" ht="24.95" customHeight="1" x14ac:dyDescent="0.2">
      <c r="B159" s="287"/>
      <c r="H159" s="287" t="e">
        <f>H158+H151</f>
        <v>#REF!</v>
      </c>
    </row>
    <row r="160" spans="1:8" ht="24.95" customHeight="1" x14ac:dyDescent="0.2"/>
    <row r="161" spans="1:5" ht="24.95" customHeight="1" x14ac:dyDescent="0.2">
      <c r="A161" s="122"/>
      <c r="B161" s="316" t="e">
        <f>B8+B18+B23+B28+B43+B59+B80+B95+B117+B129</f>
        <v>#REF!</v>
      </c>
      <c r="C161" s="316" t="e">
        <f>C8+C18+C23+C28+C43+C59+C80+C95+C117+C129</f>
        <v>#REF!</v>
      </c>
      <c r="D161" s="316" t="e">
        <f>D8+D18+D23+D28+D43+D59+D80+D95+D117+D129</f>
        <v>#REF!</v>
      </c>
      <c r="E161" s="316" t="e">
        <f>E8+E18+E23+E28+E43+E59+E80+E95+E117+E129</f>
        <v>#REF!</v>
      </c>
    </row>
    <row r="162" spans="1:5" x14ac:dyDescent="0.2">
      <c r="B162" s="317" t="e">
        <f>B16+B53+B103+B127+B139</f>
        <v>#REF!</v>
      </c>
      <c r="C162" s="317" t="e">
        <f>C16+C53+C103+C127+C139</f>
        <v>#REF!</v>
      </c>
      <c r="D162" s="317" t="e">
        <f>D16+D53+D103+D127+D139</f>
        <v>#REF!</v>
      </c>
      <c r="E162" s="317" t="e">
        <f>E16+E53+E103+E127+E139</f>
        <v>#REF!</v>
      </c>
    </row>
    <row r="163" spans="1:5" x14ac:dyDescent="0.2">
      <c r="B163" s="317" t="e">
        <f>B162-B141</f>
        <v>#REF!</v>
      </c>
      <c r="C163" s="317" t="e">
        <f t="shared" ref="C163:E163" si="42">C162-C141</f>
        <v>#REF!</v>
      </c>
      <c r="D163" s="317" t="e">
        <f t="shared" si="42"/>
        <v>#REF!</v>
      </c>
      <c r="E163" s="317" t="e">
        <f t="shared" si="42"/>
        <v>#REF!</v>
      </c>
    </row>
    <row r="164" spans="1:5" x14ac:dyDescent="0.2">
      <c r="B164" s="318" t="e">
        <f>B140+B141</f>
        <v>#REF!</v>
      </c>
      <c r="C164" s="318" t="e">
        <f t="shared" ref="C164:E164" si="43">C140+C141</f>
        <v>#REF!</v>
      </c>
      <c r="D164" s="318" t="e">
        <f t="shared" si="43"/>
        <v>#REF!</v>
      </c>
      <c r="E164" s="318" t="e">
        <f t="shared" si="43"/>
        <v>#REF!</v>
      </c>
    </row>
    <row r="165" spans="1:5" x14ac:dyDescent="0.2">
      <c r="B165" s="287" t="e">
        <f>B164-B142</f>
        <v>#REF!</v>
      </c>
      <c r="C165" s="287" t="e">
        <f t="shared" ref="C165:E165" si="44">C164-C142</f>
        <v>#REF!</v>
      </c>
      <c r="D165" s="287" t="e">
        <f t="shared" si="44"/>
        <v>#REF!</v>
      </c>
      <c r="E165" s="287" t="e">
        <f t="shared" si="44"/>
        <v>#REF!</v>
      </c>
    </row>
    <row r="166" spans="1:5" x14ac:dyDescent="0.2">
      <c r="B166" s="287"/>
      <c r="E166" s="287" t="e">
        <f>C164+D164+E164</f>
        <v>#REF!</v>
      </c>
    </row>
  </sheetData>
  <mergeCells count="6">
    <mergeCell ref="A114:A115"/>
    <mergeCell ref="A1:E1"/>
    <mergeCell ref="A2:E2"/>
    <mergeCell ref="A5:A6"/>
    <mergeCell ref="A40:A41"/>
    <mergeCell ref="A77:A78"/>
  </mergeCells>
  <pageMargins left="0.59055118110236227" right="0.27559055118110237" top="0.59055118110236227" bottom="0.39370078740157483" header="0.31496062992125984" footer="0.31496062992125984"/>
  <pageSetup paperSize="9" scale="83" orientation="portrait" horizontalDpi="4294967295" verticalDpi="4294967295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0000"/>
  </sheetPr>
  <dimension ref="A1:H172"/>
  <sheetViews>
    <sheetView topLeftCell="A38" workbookViewId="0">
      <selection activeCell="A31" sqref="A31"/>
    </sheetView>
  </sheetViews>
  <sheetFormatPr defaultRowHeight="14.25" x14ac:dyDescent="0.2"/>
  <cols>
    <col min="1" max="1" width="70.125" customWidth="1"/>
    <col min="2" max="2" width="8.125" customWidth="1"/>
    <col min="3" max="3" width="21.25" style="39" customWidth="1"/>
    <col min="4" max="6" width="21.25" style="84" customWidth="1"/>
    <col min="7" max="17" width="39.375" customWidth="1"/>
  </cols>
  <sheetData>
    <row r="1" spans="1:8" ht="24" x14ac:dyDescent="0.2">
      <c r="A1" s="702" t="s">
        <v>17</v>
      </c>
      <c r="B1" s="702"/>
      <c r="C1" s="702"/>
      <c r="D1" s="702"/>
      <c r="E1" s="702"/>
      <c r="F1" s="702"/>
    </row>
    <row r="2" spans="1:8" ht="24" x14ac:dyDescent="0.2">
      <c r="A2" s="5" t="s">
        <v>55</v>
      </c>
      <c r="B2" s="5"/>
      <c r="C2" s="37"/>
      <c r="D2" s="102"/>
      <c r="E2" s="102"/>
      <c r="F2" s="102"/>
    </row>
    <row r="3" spans="1:8" s="104" customFormat="1" ht="24" x14ac:dyDescent="0.2">
      <c r="A3" s="114" t="s">
        <v>60</v>
      </c>
      <c r="B3" s="114"/>
      <c r="C3" s="115"/>
      <c r="E3" s="116"/>
      <c r="F3" s="116" t="s">
        <v>28</v>
      </c>
    </row>
    <row r="4" spans="1:8" ht="11.25" customHeight="1" x14ac:dyDescent="0.2">
      <c r="A4" s="3"/>
      <c r="B4" s="3"/>
      <c r="C4" s="38"/>
      <c r="D4" s="101"/>
      <c r="E4" s="101"/>
      <c r="F4" s="101"/>
    </row>
    <row r="5" spans="1:8" ht="24" x14ac:dyDescent="0.2">
      <c r="A5" s="706" t="s">
        <v>13</v>
      </c>
      <c r="B5" s="22" t="s">
        <v>5</v>
      </c>
      <c r="C5" s="712" t="s">
        <v>1</v>
      </c>
      <c r="D5" s="714" t="s">
        <v>43</v>
      </c>
      <c r="E5" s="714" t="s">
        <v>44</v>
      </c>
      <c r="F5" s="714" t="s">
        <v>45</v>
      </c>
    </row>
    <row r="6" spans="1:8" ht="24" x14ac:dyDescent="0.2">
      <c r="A6" s="707"/>
      <c r="B6" s="23" t="s">
        <v>3</v>
      </c>
      <c r="C6" s="713"/>
      <c r="D6" s="715"/>
      <c r="E6" s="715"/>
      <c r="F6" s="715"/>
    </row>
    <row r="7" spans="1:8" ht="24" x14ac:dyDescent="0.2">
      <c r="A7" s="32" t="s">
        <v>39</v>
      </c>
      <c r="B7" s="31" t="s">
        <v>2</v>
      </c>
      <c r="C7" s="59">
        <f>SUM(D7:F7)</f>
        <v>5740</v>
      </c>
      <c r="D7" s="90">
        <f>D9</f>
        <v>870</v>
      </c>
      <c r="E7" s="90">
        <f>E9</f>
        <v>3820</v>
      </c>
      <c r="F7" s="90">
        <f>F9</f>
        <v>1050</v>
      </c>
    </row>
    <row r="8" spans="1:8" ht="24" x14ac:dyDescent="0.2">
      <c r="A8" s="32"/>
      <c r="B8" s="31" t="s">
        <v>3</v>
      </c>
      <c r="C8" s="59"/>
      <c r="D8" s="90"/>
      <c r="E8" s="90"/>
      <c r="F8" s="90"/>
    </row>
    <row r="9" spans="1:8" ht="24" x14ac:dyDescent="0.2">
      <c r="A9" s="26" t="s">
        <v>157</v>
      </c>
      <c r="B9" s="8" t="s">
        <v>2</v>
      </c>
      <c r="C9" s="60">
        <f>SUM(D9:F9)</f>
        <v>5740</v>
      </c>
      <c r="D9" s="100">
        <f>D11+D18</f>
        <v>870</v>
      </c>
      <c r="E9" s="100">
        <f t="shared" ref="E9:F9" si="0">E11+E18</f>
        <v>3820</v>
      </c>
      <c r="F9" s="100">
        <f t="shared" si="0"/>
        <v>1050</v>
      </c>
    </row>
    <row r="10" spans="1:8" ht="24" x14ac:dyDescent="0.2">
      <c r="A10" s="41"/>
      <c r="B10" s="8" t="s">
        <v>3</v>
      </c>
      <c r="C10" s="60"/>
      <c r="D10" s="100"/>
      <c r="E10" s="100"/>
      <c r="F10" s="100"/>
    </row>
    <row r="11" spans="1:8" s="110" customFormat="1" ht="24" x14ac:dyDescent="0.2">
      <c r="A11" s="107" t="s">
        <v>41</v>
      </c>
      <c r="B11" s="108" t="s">
        <v>2</v>
      </c>
      <c r="C11" s="109">
        <f>SUM(C13:C17)</f>
        <v>5740</v>
      </c>
      <c r="D11" s="109">
        <f>SUM(D13:D17)</f>
        <v>870</v>
      </c>
      <c r="E11" s="109">
        <f>SUM(E13:E17)</f>
        <v>3820</v>
      </c>
      <c r="F11" s="109">
        <f>SUM(F13:F17)</f>
        <v>1050</v>
      </c>
    </row>
    <row r="12" spans="1:8" ht="24" x14ac:dyDescent="0.2">
      <c r="A12" s="34"/>
      <c r="B12" s="25" t="s">
        <v>3</v>
      </c>
      <c r="C12" s="61"/>
      <c r="D12" s="99"/>
      <c r="E12" s="99"/>
      <c r="F12" s="99"/>
    </row>
    <row r="13" spans="1:8" ht="24" x14ac:dyDescent="0.2">
      <c r="A13" s="40" t="s">
        <v>18</v>
      </c>
      <c r="B13" s="25"/>
      <c r="C13" s="61"/>
      <c r="D13" s="98"/>
      <c r="E13" s="98"/>
      <c r="F13" s="98"/>
    </row>
    <row r="14" spans="1:8" ht="24" x14ac:dyDescent="0.2">
      <c r="A14" s="28" t="s">
        <v>9</v>
      </c>
      <c r="B14" s="25"/>
      <c r="C14" s="61"/>
      <c r="D14" s="98"/>
      <c r="E14" s="98"/>
      <c r="F14" s="98"/>
    </row>
    <row r="15" spans="1:8" s="122" customFormat="1" ht="24" x14ac:dyDescent="0.2">
      <c r="A15" s="27" t="s">
        <v>19</v>
      </c>
      <c r="B15" s="118" t="s">
        <v>2</v>
      </c>
      <c r="C15" s="119">
        <f>SUM(D15:F15)</f>
        <v>2880</v>
      </c>
      <c r="D15" s="120">
        <v>870</v>
      </c>
      <c r="E15" s="120">
        <v>960</v>
      </c>
      <c r="F15" s="120">
        <f>960+90</f>
        <v>1050</v>
      </c>
      <c r="G15" s="121">
        <f>2880*30/100</f>
        <v>864</v>
      </c>
      <c r="H15" s="122">
        <f>870-960</f>
        <v>-90</v>
      </c>
    </row>
    <row r="16" spans="1:8" ht="24" x14ac:dyDescent="0.2">
      <c r="A16" s="28" t="s">
        <v>11</v>
      </c>
      <c r="B16" s="25"/>
      <c r="C16" s="61"/>
      <c r="D16" s="97"/>
      <c r="E16" s="97"/>
      <c r="F16" s="97"/>
    </row>
    <row r="17" spans="1:7" ht="24" x14ac:dyDescent="0.2">
      <c r="A17" s="27" t="s">
        <v>27</v>
      </c>
      <c r="B17" s="25" t="s">
        <v>2</v>
      </c>
      <c r="C17" s="61">
        <f>SUM(D17:F17)</f>
        <v>2860</v>
      </c>
      <c r="D17" s="96"/>
      <c r="E17" s="96">
        <v>2860</v>
      </c>
      <c r="F17" s="96"/>
    </row>
    <row r="18" spans="1:7" s="110" customFormat="1" ht="24" x14ac:dyDescent="0.2">
      <c r="A18" s="111" t="s">
        <v>51</v>
      </c>
      <c r="B18" s="108" t="s">
        <v>2</v>
      </c>
      <c r="C18" s="109">
        <f>SUM(C22:C30)</f>
        <v>0</v>
      </c>
      <c r="D18" s="109">
        <f>SUM(D22:D30)</f>
        <v>0</v>
      </c>
      <c r="E18" s="109">
        <f>SUM(E22:E30)</f>
        <v>0</v>
      </c>
      <c r="F18" s="109">
        <f>SUM(F22:F30)</f>
        <v>0</v>
      </c>
    </row>
    <row r="19" spans="1:7" ht="24" x14ac:dyDescent="0.2">
      <c r="A19" s="34"/>
      <c r="B19" s="25" t="s">
        <v>3</v>
      </c>
      <c r="C19" s="61"/>
      <c r="D19" s="99"/>
      <c r="E19" s="99"/>
      <c r="F19" s="99"/>
    </row>
    <row r="20" spans="1:7" ht="24" x14ac:dyDescent="0.2">
      <c r="A20" s="40" t="s">
        <v>38</v>
      </c>
      <c r="B20" s="25"/>
      <c r="C20" s="61"/>
      <c r="D20" s="98"/>
      <c r="E20" s="98"/>
      <c r="F20" s="98"/>
    </row>
    <row r="21" spans="1:7" ht="24" x14ac:dyDescent="0.2">
      <c r="A21" s="28" t="s">
        <v>9</v>
      </c>
      <c r="B21" s="25"/>
      <c r="C21" s="61"/>
      <c r="D21" s="98"/>
      <c r="E21" s="98"/>
      <c r="F21" s="98"/>
    </row>
    <row r="22" spans="1:7" s="122" customFormat="1" ht="24" x14ac:dyDescent="0.2">
      <c r="A22" s="117" t="s">
        <v>20</v>
      </c>
      <c r="B22" s="118" t="s">
        <v>2</v>
      </c>
      <c r="C22" s="119">
        <f>SUM(D22:F22)</f>
        <v>0</v>
      </c>
      <c r="D22" s="120"/>
      <c r="E22" s="120"/>
      <c r="F22" s="120"/>
      <c r="G22" s="121"/>
    </row>
    <row r="23" spans="1:7" ht="24" x14ac:dyDescent="0.2">
      <c r="A23" s="28" t="s">
        <v>10</v>
      </c>
      <c r="B23" s="25"/>
      <c r="C23" s="61"/>
      <c r="D23" s="98"/>
      <c r="E23" s="98"/>
      <c r="F23" s="98"/>
    </row>
    <row r="24" spans="1:7" ht="24" x14ac:dyDescent="0.2">
      <c r="A24" s="27" t="s">
        <v>29</v>
      </c>
      <c r="B24" s="25" t="s">
        <v>2</v>
      </c>
      <c r="C24" s="61">
        <f>SUM(D24:F24)</f>
        <v>0</v>
      </c>
      <c r="D24" s="96"/>
      <c r="E24" s="96"/>
      <c r="F24" s="96"/>
      <c r="G24" s="92"/>
    </row>
    <row r="25" spans="1:7" ht="24" x14ac:dyDescent="0.2">
      <c r="A25" s="27" t="s">
        <v>23</v>
      </c>
      <c r="B25" s="25" t="s">
        <v>2</v>
      </c>
      <c r="C25" s="61">
        <f>SUM(D25:F25)</f>
        <v>0</v>
      </c>
      <c r="D25" s="96"/>
      <c r="E25" s="96"/>
      <c r="F25" s="96"/>
    </row>
    <row r="26" spans="1:7" ht="24" x14ac:dyDescent="0.2">
      <c r="A26" s="103" t="s">
        <v>61</v>
      </c>
      <c r="B26" s="25" t="s">
        <v>2</v>
      </c>
      <c r="C26" s="61">
        <f t="shared" ref="C26:C27" si="1">SUM(D26:F26)</f>
        <v>0</v>
      </c>
      <c r="D26" s="96"/>
      <c r="E26" s="96"/>
      <c r="F26" s="96"/>
    </row>
    <row r="27" spans="1:7" ht="24" x14ac:dyDescent="0.2">
      <c r="A27" s="103" t="s">
        <v>62</v>
      </c>
      <c r="B27" s="25" t="s">
        <v>2</v>
      </c>
      <c r="C27" s="61">
        <f t="shared" si="1"/>
        <v>0</v>
      </c>
      <c r="D27" s="96"/>
      <c r="E27" s="96"/>
      <c r="F27" s="96"/>
    </row>
    <row r="28" spans="1:7" ht="24" x14ac:dyDescent="0.2">
      <c r="A28" s="28" t="s">
        <v>11</v>
      </c>
      <c r="B28" s="25"/>
      <c r="C28" s="61"/>
      <c r="D28" s="97"/>
      <c r="E28" s="97"/>
      <c r="F28" s="97"/>
    </row>
    <row r="29" spans="1:7" ht="24" x14ac:dyDescent="0.2">
      <c r="A29" s="27" t="s">
        <v>26</v>
      </c>
      <c r="B29" s="25" t="s">
        <v>2</v>
      </c>
      <c r="C29" s="61">
        <f>SUM(D29:F29)</f>
        <v>0</v>
      </c>
      <c r="D29" s="96"/>
      <c r="E29" s="96"/>
      <c r="F29" s="96"/>
    </row>
    <row r="30" spans="1:7" ht="24" x14ac:dyDescent="0.2">
      <c r="A30" s="27" t="s">
        <v>30</v>
      </c>
      <c r="B30" s="25" t="s">
        <v>2</v>
      </c>
      <c r="C30" s="61">
        <f>SUM(D30:F30)</f>
        <v>0</v>
      </c>
      <c r="D30" s="96"/>
      <c r="E30" s="96"/>
      <c r="F30" s="96"/>
      <c r="G30" s="92"/>
    </row>
    <row r="31" spans="1:7" ht="24" x14ac:dyDescent="0.2">
      <c r="A31" s="103" t="s">
        <v>56</v>
      </c>
      <c r="B31" s="25" t="s">
        <v>2</v>
      </c>
      <c r="C31" s="61">
        <f t="shared" ref="C31" si="2">SUM(D31:F31)</f>
        <v>0</v>
      </c>
      <c r="D31" s="96"/>
      <c r="E31" s="96"/>
      <c r="F31" s="96"/>
      <c r="G31" s="92"/>
    </row>
    <row r="32" spans="1:7" ht="24" x14ac:dyDescent="0.2">
      <c r="A32" s="103" t="s">
        <v>63</v>
      </c>
      <c r="B32" s="25" t="s">
        <v>2</v>
      </c>
      <c r="C32" s="61">
        <f t="shared" ref="C32:C33" si="3">SUM(D32:F32)</f>
        <v>0</v>
      </c>
      <c r="D32" s="96"/>
      <c r="E32" s="96"/>
      <c r="F32" s="96"/>
      <c r="G32" s="92"/>
    </row>
    <row r="33" spans="1:7" ht="24" x14ac:dyDescent="0.2">
      <c r="A33" s="103" t="s">
        <v>64</v>
      </c>
      <c r="B33" s="25" t="s">
        <v>2</v>
      </c>
      <c r="C33" s="61">
        <f t="shared" si="3"/>
        <v>0</v>
      </c>
      <c r="D33" s="96"/>
      <c r="E33" s="96"/>
      <c r="F33" s="96"/>
      <c r="G33" s="92"/>
    </row>
    <row r="34" spans="1:7" s="110" customFormat="1" ht="24" x14ac:dyDescent="0.2">
      <c r="A34" s="111" t="s">
        <v>42</v>
      </c>
      <c r="B34" s="108" t="s">
        <v>2</v>
      </c>
      <c r="C34" s="112">
        <f>C36</f>
        <v>0</v>
      </c>
      <c r="D34" s="113">
        <f>D36</f>
        <v>0</v>
      </c>
      <c r="E34" s="113">
        <f>E36</f>
        <v>0</v>
      </c>
      <c r="F34" s="113">
        <f>F36</f>
        <v>0</v>
      </c>
    </row>
    <row r="35" spans="1:7" ht="24" x14ac:dyDescent="0.2">
      <c r="A35" s="34"/>
      <c r="B35" s="25" t="s">
        <v>3</v>
      </c>
      <c r="C35" s="112"/>
      <c r="D35" s="93"/>
      <c r="E35" s="105"/>
      <c r="F35" s="96"/>
    </row>
    <row r="36" spans="1:7" ht="24" x14ac:dyDescent="0.2">
      <c r="A36" s="103" t="s">
        <v>65</v>
      </c>
      <c r="B36" s="25" t="s">
        <v>2</v>
      </c>
      <c r="C36" s="112">
        <f>SUM(D36:F36)</f>
        <v>0</v>
      </c>
      <c r="D36" s="93">
        <v>0</v>
      </c>
      <c r="E36" s="93">
        <v>0</v>
      </c>
      <c r="F36" s="106">
        <v>0</v>
      </c>
    </row>
    <row r="37" spans="1:7" ht="24" x14ac:dyDescent="0.2">
      <c r="A37" s="124" t="s">
        <v>66</v>
      </c>
      <c r="B37" s="95"/>
      <c r="C37" s="123"/>
      <c r="D37" s="93"/>
      <c r="E37" s="93"/>
      <c r="F37" s="106"/>
    </row>
    <row r="38" spans="1:7" ht="24" x14ac:dyDescent="0.2">
      <c r="A38" s="27"/>
      <c r="B38" s="95"/>
      <c r="C38" s="94"/>
      <c r="D38" s="93"/>
      <c r="E38" s="93"/>
      <c r="F38" s="106"/>
      <c r="G38" s="92"/>
    </row>
    <row r="39" spans="1:7" ht="24" x14ac:dyDescent="0.2">
      <c r="A39" s="44" t="s">
        <v>47</v>
      </c>
      <c r="B39" s="31" t="s">
        <v>2</v>
      </c>
      <c r="C39" s="59">
        <f>C7</f>
        <v>5740</v>
      </c>
      <c r="D39" s="91">
        <f>D7</f>
        <v>870</v>
      </c>
      <c r="E39" s="91">
        <f>E7</f>
        <v>3820</v>
      </c>
      <c r="F39" s="91">
        <f>F7</f>
        <v>1050</v>
      </c>
    </row>
    <row r="40" spans="1:7" ht="24" x14ac:dyDescent="0.2">
      <c r="A40" s="44"/>
      <c r="B40" s="31" t="s">
        <v>3</v>
      </c>
      <c r="C40" s="59"/>
      <c r="D40" s="90"/>
      <c r="E40" s="90"/>
      <c r="F40" s="90"/>
    </row>
    <row r="41" spans="1:7" ht="24" x14ac:dyDescent="0.2">
      <c r="A41" s="704" t="s">
        <v>6</v>
      </c>
      <c r="B41" s="35" t="s">
        <v>2</v>
      </c>
      <c r="C41" s="62">
        <f>C39</f>
        <v>5740</v>
      </c>
      <c r="D41" s="89">
        <f>D39</f>
        <v>870</v>
      </c>
      <c r="E41" s="89">
        <f>E39</f>
        <v>3820</v>
      </c>
      <c r="F41" s="89">
        <f>F39</f>
        <v>1050</v>
      </c>
    </row>
    <row r="42" spans="1:7" ht="24" x14ac:dyDescent="0.2">
      <c r="A42" s="705"/>
      <c r="B42" s="36" t="s">
        <v>3</v>
      </c>
      <c r="C42" s="63"/>
      <c r="D42" s="88"/>
      <c r="E42" s="88"/>
      <c r="F42" s="88"/>
    </row>
    <row r="43" spans="1:7" ht="19.5" customHeight="1" x14ac:dyDescent="0.2">
      <c r="A43" s="11"/>
      <c r="B43" s="11"/>
      <c r="C43" s="87"/>
      <c r="D43" s="86"/>
      <c r="E43" s="86"/>
      <c r="F43" s="86"/>
    </row>
    <row r="44" spans="1:7" ht="28.5" customHeight="1" x14ac:dyDescent="0.2">
      <c r="A44" s="3" t="s">
        <v>7</v>
      </c>
      <c r="B44" s="11"/>
      <c r="C44" s="87"/>
      <c r="D44" s="85"/>
      <c r="E44" s="85"/>
      <c r="F44" s="85"/>
    </row>
    <row r="46" spans="1:7" ht="24" x14ac:dyDescent="0.2">
      <c r="A46" s="702" t="s">
        <v>17</v>
      </c>
      <c r="B46" s="702"/>
      <c r="C46" s="702"/>
      <c r="D46" s="702"/>
      <c r="E46" s="702"/>
      <c r="F46" s="702"/>
    </row>
    <row r="47" spans="1:7" ht="24" x14ac:dyDescent="0.2">
      <c r="A47" s="5" t="s">
        <v>55</v>
      </c>
      <c r="B47" s="5"/>
      <c r="C47" s="37"/>
      <c r="D47" s="102"/>
      <c r="E47" s="102"/>
      <c r="F47" s="102"/>
    </row>
    <row r="48" spans="1:7" s="104" customFormat="1" ht="24" x14ac:dyDescent="0.2">
      <c r="A48" s="114" t="s">
        <v>60</v>
      </c>
      <c r="B48" s="114"/>
      <c r="C48" s="115"/>
      <c r="E48" s="116"/>
      <c r="F48" s="116" t="s">
        <v>28</v>
      </c>
    </row>
    <row r="49" spans="1:7" ht="11.25" customHeight="1" x14ac:dyDescent="0.2">
      <c r="A49" s="3"/>
      <c r="B49" s="3"/>
      <c r="C49" s="38"/>
      <c r="D49" s="101"/>
      <c r="E49" s="101"/>
      <c r="F49" s="101"/>
    </row>
    <row r="50" spans="1:7" ht="24" x14ac:dyDescent="0.2">
      <c r="A50" s="706" t="s">
        <v>13</v>
      </c>
      <c r="B50" s="22" t="s">
        <v>5</v>
      </c>
      <c r="C50" s="712" t="s">
        <v>1</v>
      </c>
      <c r="D50" s="714" t="s">
        <v>43</v>
      </c>
      <c r="E50" s="714" t="s">
        <v>44</v>
      </c>
      <c r="F50" s="714" t="s">
        <v>45</v>
      </c>
    </row>
    <row r="51" spans="1:7" ht="24" x14ac:dyDescent="0.2">
      <c r="A51" s="707"/>
      <c r="B51" s="23" t="s">
        <v>3</v>
      </c>
      <c r="C51" s="713"/>
      <c r="D51" s="715"/>
      <c r="E51" s="715"/>
      <c r="F51" s="715"/>
    </row>
    <row r="52" spans="1:7" ht="24" x14ac:dyDescent="0.2">
      <c r="A52" s="32" t="s">
        <v>39</v>
      </c>
      <c r="B52" s="31" t="s">
        <v>2</v>
      </c>
      <c r="C52" s="59">
        <f>SUM(D52:F52)</f>
        <v>0</v>
      </c>
      <c r="D52" s="90">
        <f>D54</f>
        <v>0</v>
      </c>
      <c r="E52" s="90">
        <f>E54</f>
        <v>0</v>
      </c>
      <c r="F52" s="90">
        <f>F54</f>
        <v>0</v>
      </c>
    </row>
    <row r="53" spans="1:7" ht="24" x14ac:dyDescent="0.2">
      <c r="A53" s="32"/>
      <c r="B53" s="31" t="s">
        <v>3</v>
      </c>
      <c r="C53" s="59"/>
      <c r="D53" s="90"/>
      <c r="E53" s="90"/>
      <c r="F53" s="90"/>
    </row>
    <row r="54" spans="1:7" ht="24" x14ac:dyDescent="0.2">
      <c r="A54" s="26" t="s">
        <v>67</v>
      </c>
      <c r="B54" s="8" t="s">
        <v>2</v>
      </c>
      <c r="C54" s="60">
        <f>SUM(D54:F54)</f>
        <v>0</v>
      </c>
      <c r="D54" s="100">
        <f>D56+D63</f>
        <v>0</v>
      </c>
      <c r="E54" s="100">
        <f t="shared" ref="E54:F54" si="4">E56+E63</f>
        <v>0</v>
      </c>
      <c r="F54" s="100">
        <f t="shared" si="4"/>
        <v>0</v>
      </c>
    </row>
    <row r="55" spans="1:7" ht="24" x14ac:dyDescent="0.2">
      <c r="A55" s="41"/>
      <c r="B55" s="8" t="s">
        <v>3</v>
      </c>
      <c r="C55" s="60"/>
      <c r="D55" s="100"/>
      <c r="E55" s="100"/>
      <c r="F55" s="100"/>
    </row>
    <row r="56" spans="1:7" s="110" customFormat="1" ht="24" x14ac:dyDescent="0.2">
      <c r="A56" s="107" t="s">
        <v>41</v>
      </c>
      <c r="B56" s="108" t="s">
        <v>2</v>
      </c>
      <c r="C56" s="109">
        <f>SUM(C58:C62)</f>
        <v>0</v>
      </c>
      <c r="D56" s="109">
        <f>SUM(D58:D62)</f>
        <v>0</v>
      </c>
      <c r="E56" s="109">
        <f>SUM(E58:E62)</f>
        <v>0</v>
      </c>
      <c r="F56" s="109">
        <f>SUM(F58:F62)</f>
        <v>0</v>
      </c>
    </row>
    <row r="57" spans="1:7" ht="24" x14ac:dyDescent="0.2">
      <c r="A57" s="34"/>
      <c r="B57" s="25" t="s">
        <v>3</v>
      </c>
      <c r="C57" s="61"/>
      <c r="D57" s="99"/>
      <c r="E57" s="99"/>
      <c r="F57" s="99"/>
    </row>
    <row r="58" spans="1:7" ht="24" x14ac:dyDescent="0.2">
      <c r="A58" s="40" t="s">
        <v>18</v>
      </c>
      <c r="B58" s="25"/>
      <c r="C58" s="61"/>
      <c r="D58" s="98"/>
      <c r="E58" s="98"/>
      <c r="F58" s="98"/>
    </row>
    <row r="59" spans="1:7" ht="24" x14ac:dyDescent="0.2">
      <c r="A59" s="28" t="s">
        <v>9</v>
      </c>
      <c r="B59" s="25"/>
      <c r="C59" s="61"/>
      <c r="D59" s="98"/>
      <c r="E59" s="98"/>
      <c r="F59" s="98"/>
    </row>
    <row r="60" spans="1:7" s="122" customFormat="1" ht="24" x14ac:dyDescent="0.2">
      <c r="A60" s="27" t="s">
        <v>19</v>
      </c>
      <c r="B60" s="118" t="s">
        <v>2</v>
      </c>
      <c r="C60" s="119">
        <f>SUM(D60:F60)</f>
        <v>0</v>
      </c>
      <c r="D60" s="120"/>
      <c r="E60" s="120"/>
      <c r="F60" s="120"/>
      <c r="G60" s="121" t="s">
        <v>59</v>
      </c>
    </row>
    <row r="61" spans="1:7" ht="24" x14ac:dyDescent="0.2">
      <c r="A61" s="28" t="s">
        <v>11</v>
      </c>
      <c r="B61" s="25"/>
      <c r="C61" s="61"/>
      <c r="D61" s="97"/>
      <c r="E61" s="97"/>
      <c r="F61" s="97"/>
    </row>
    <row r="62" spans="1:7" ht="24" x14ac:dyDescent="0.2">
      <c r="A62" s="27" t="s">
        <v>27</v>
      </c>
      <c r="B62" s="25" t="s">
        <v>2</v>
      </c>
      <c r="C62" s="61">
        <f>SUM(D62:F62)</f>
        <v>0</v>
      </c>
      <c r="D62" s="96"/>
      <c r="E62" s="96"/>
      <c r="F62" s="96"/>
    </row>
    <row r="63" spans="1:7" s="110" customFormat="1" ht="24" x14ac:dyDescent="0.2">
      <c r="A63" s="111" t="s">
        <v>51</v>
      </c>
      <c r="B63" s="108" t="s">
        <v>2</v>
      </c>
      <c r="C63" s="109">
        <f>SUM(C67:C73)</f>
        <v>0</v>
      </c>
      <c r="D63" s="109">
        <f>SUM(D67:D73)</f>
        <v>0</v>
      </c>
      <c r="E63" s="109">
        <f>SUM(E67:E73)</f>
        <v>0</v>
      </c>
      <c r="F63" s="109">
        <f>SUM(F67:F73)</f>
        <v>0</v>
      </c>
    </row>
    <row r="64" spans="1:7" ht="24" x14ac:dyDescent="0.2">
      <c r="A64" s="34"/>
      <c r="B64" s="25" t="s">
        <v>3</v>
      </c>
      <c r="C64" s="61"/>
      <c r="D64" s="99"/>
      <c r="E64" s="99"/>
      <c r="F64" s="99"/>
    </row>
    <row r="65" spans="1:7" ht="24" x14ac:dyDescent="0.2">
      <c r="A65" s="40" t="s">
        <v>38</v>
      </c>
      <c r="B65" s="25"/>
      <c r="C65" s="61"/>
      <c r="D65" s="98"/>
      <c r="E65" s="98"/>
      <c r="F65" s="98"/>
    </row>
    <row r="66" spans="1:7" ht="24" x14ac:dyDescent="0.2">
      <c r="A66" s="28" t="s">
        <v>9</v>
      </c>
      <c r="B66" s="25"/>
      <c r="C66" s="61"/>
      <c r="D66" s="98"/>
      <c r="E66" s="98"/>
      <c r="F66" s="98"/>
    </row>
    <row r="67" spans="1:7" s="122" customFormat="1" ht="24" x14ac:dyDescent="0.2">
      <c r="A67" s="117" t="s">
        <v>20</v>
      </c>
      <c r="B67" s="118" t="s">
        <v>2</v>
      </c>
      <c r="C67" s="119">
        <f>SUM(D67:F67)</f>
        <v>0</v>
      </c>
      <c r="D67" s="120"/>
      <c r="E67" s="120"/>
      <c r="F67" s="120"/>
      <c r="G67" s="121" t="s">
        <v>59</v>
      </c>
    </row>
    <row r="68" spans="1:7" ht="24" x14ac:dyDescent="0.2">
      <c r="A68" s="28" t="s">
        <v>10</v>
      </c>
      <c r="B68" s="25"/>
      <c r="C68" s="61"/>
      <c r="D68" s="98"/>
      <c r="E68" s="98"/>
      <c r="F68" s="98"/>
    </row>
    <row r="69" spans="1:7" ht="24" x14ac:dyDescent="0.2">
      <c r="A69" s="27" t="s">
        <v>29</v>
      </c>
      <c r="B69" s="25" t="s">
        <v>2</v>
      </c>
      <c r="C69" s="61">
        <f>SUM(D69:F69)</f>
        <v>0</v>
      </c>
      <c r="D69" s="96"/>
      <c r="E69" s="96"/>
      <c r="F69" s="96"/>
      <c r="G69" s="92"/>
    </row>
    <row r="70" spans="1:7" ht="24" x14ac:dyDescent="0.2">
      <c r="A70" s="27" t="s">
        <v>23</v>
      </c>
      <c r="B70" s="25" t="s">
        <v>2</v>
      </c>
      <c r="C70" s="61">
        <f>SUM(D70:F70)</f>
        <v>0</v>
      </c>
      <c r="D70" s="96"/>
      <c r="E70" s="96"/>
      <c r="F70" s="96"/>
    </row>
    <row r="71" spans="1:7" ht="24" x14ac:dyDescent="0.2">
      <c r="A71" s="103" t="s">
        <v>61</v>
      </c>
      <c r="B71" s="25" t="s">
        <v>2</v>
      </c>
      <c r="C71" s="61">
        <f t="shared" ref="C71:C72" si="5">SUM(D71:F71)</f>
        <v>0</v>
      </c>
      <c r="D71" s="96"/>
      <c r="E71" s="96"/>
      <c r="F71" s="96"/>
    </row>
    <row r="72" spans="1:7" ht="24" x14ac:dyDescent="0.2">
      <c r="A72" s="103" t="s">
        <v>62</v>
      </c>
      <c r="B72" s="25" t="s">
        <v>2</v>
      </c>
      <c r="C72" s="61">
        <f t="shared" si="5"/>
        <v>0</v>
      </c>
      <c r="D72" s="96"/>
      <c r="E72" s="96"/>
      <c r="F72" s="96"/>
    </row>
    <row r="73" spans="1:7" ht="24" x14ac:dyDescent="0.2">
      <c r="A73" s="28" t="s">
        <v>11</v>
      </c>
      <c r="B73" s="25"/>
      <c r="C73" s="61"/>
      <c r="D73" s="97"/>
      <c r="E73" s="97"/>
      <c r="F73" s="97"/>
    </row>
    <row r="74" spans="1:7" ht="24" x14ac:dyDescent="0.2">
      <c r="A74" s="27" t="s">
        <v>26</v>
      </c>
      <c r="B74" s="25" t="s">
        <v>2</v>
      </c>
      <c r="C74" s="61">
        <f>SUM(D74:F74)</f>
        <v>0</v>
      </c>
      <c r="D74" s="96"/>
      <c r="E74" s="96"/>
      <c r="F74" s="96"/>
    </row>
    <row r="75" spans="1:7" ht="24" x14ac:dyDescent="0.2">
      <c r="A75" s="27" t="s">
        <v>30</v>
      </c>
      <c r="B75" s="25" t="s">
        <v>2</v>
      </c>
      <c r="C75" s="61">
        <f>SUM(D75:F75)</f>
        <v>0</v>
      </c>
      <c r="D75" s="96"/>
      <c r="E75" s="96"/>
      <c r="F75" s="96"/>
      <c r="G75" s="92"/>
    </row>
    <row r="76" spans="1:7" ht="24" x14ac:dyDescent="0.2">
      <c r="A76" s="103" t="s">
        <v>56</v>
      </c>
      <c r="B76" s="25" t="s">
        <v>2</v>
      </c>
      <c r="C76" s="61">
        <f t="shared" ref="C76:C78" si="6">SUM(D76:F76)</f>
        <v>0</v>
      </c>
      <c r="D76" s="96"/>
      <c r="E76" s="96"/>
      <c r="F76" s="96"/>
      <c r="G76" s="92"/>
    </row>
    <row r="77" spans="1:7" ht="24" x14ac:dyDescent="0.2">
      <c r="A77" s="103" t="s">
        <v>63</v>
      </c>
      <c r="B77" s="25" t="s">
        <v>2</v>
      </c>
      <c r="C77" s="61">
        <f t="shared" si="6"/>
        <v>0</v>
      </c>
      <c r="D77" s="96"/>
      <c r="E77" s="96"/>
      <c r="F77" s="96"/>
      <c r="G77" s="92"/>
    </row>
    <row r="78" spans="1:7" ht="24" x14ac:dyDescent="0.2">
      <c r="A78" s="103" t="s">
        <v>64</v>
      </c>
      <c r="B78" s="25" t="s">
        <v>2</v>
      </c>
      <c r="C78" s="61">
        <f t="shared" si="6"/>
        <v>0</v>
      </c>
      <c r="D78" s="96"/>
      <c r="E78" s="96"/>
      <c r="F78" s="96"/>
      <c r="G78" s="92"/>
    </row>
    <row r="79" spans="1:7" s="110" customFormat="1" ht="24" x14ac:dyDescent="0.2">
      <c r="A79" s="111" t="s">
        <v>42</v>
      </c>
      <c r="B79" s="108" t="s">
        <v>2</v>
      </c>
      <c r="C79" s="112">
        <f>C81</f>
        <v>0</v>
      </c>
      <c r="D79" s="113">
        <f>D81</f>
        <v>0</v>
      </c>
      <c r="E79" s="113">
        <f>E81</f>
        <v>0</v>
      </c>
      <c r="F79" s="113">
        <f>F81</f>
        <v>0</v>
      </c>
    </row>
    <row r="80" spans="1:7" ht="24" x14ac:dyDescent="0.2">
      <c r="A80" s="34"/>
      <c r="B80" s="25" t="s">
        <v>3</v>
      </c>
      <c r="C80" s="112"/>
      <c r="D80" s="93"/>
      <c r="E80" s="105"/>
      <c r="F80" s="96"/>
    </row>
    <row r="81" spans="1:7" ht="24" x14ac:dyDescent="0.2">
      <c r="A81" s="103" t="s">
        <v>65</v>
      </c>
      <c r="B81" s="25" t="s">
        <v>2</v>
      </c>
      <c r="C81" s="112">
        <f>SUM(D81:F81)</f>
        <v>0</v>
      </c>
      <c r="D81" s="93">
        <v>0</v>
      </c>
      <c r="E81" s="93">
        <v>0</v>
      </c>
      <c r="F81" s="106">
        <v>0</v>
      </c>
    </row>
    <row r="82" spans="1:7" ht="24" x14ac:dyDescent="0.2">
      <c r="A82" s="124" t="s">
        <v>66</v>
      </c>
      <c r="B82" s="95"/>
      <c r="C82" s="123"/>
      <c r="D82" s="93"/>
      <c r="E82" s="93"/>
      <c r="F82" s="106"/>
    </row>
    <row r="83" spans="1:7" ht="24" x14ac:dyDescent="0.2">
      <c r="A83" s="27"/>
      <c r="B83" s="95"/>
      <c r="C83" s="94"/>
      <c r="D83" s="93"/>
      <c r="E83" s="93"/>
      <c r="F83" s="93"/>
      <c r="G83" s="92"/>
    </row>
    <row r="84" spans="1:7" ht="24" x14ac:dyDescent="0.2">
      <c r="A84" s="44" t="s">
        <v>47</v>
      </c>
      <c r="B84" s="31" t="s">
        <v>2</v>
      </c>
      <c r="C84" s="59">
        <f>C52</f>
        <v>0</v>
      </c>
      <c r="D84" s="91">
        <f>D52</f>
        <v>0</v>
      </c>
      <c r="E84" s="91">
        <f>E52</f>
        <v>0</v>
      </c>
      <c r="F84" s="91">
        <f>F52</f>
        <v>0</v>
      </c>
    </row>
    <row r="85" spans="1:7" ht="24" x14ac:dyDescent="0.2">
      <c r="A85" s="44"/>
      <c r="B85" s="31" t="s">
        <v>3</v>
      </c>
      <c r="C85" s="59"/>
      <c r="D85" s="90"/>
      <c r="E85" s="90"/>
      <c r="F85" s="90"/>
    </row>
    <row r="86" spans="1:7" ht="24" x14ac:dyDescent="0.2">
      <c r="A86" s="704" t="s">
        <v>6</v>
      </c>
      <c r="B86" s="35" t="s">
        <v>2</v>
      </c>
      <c r="C86" s="62">
        <f>C84</f>
        <v>0</v>
      </c>
      <c r="D86" s="89">
        <f>D84</f>
        <v>0</v>
      </c>
      <c r="E86" s="89">
        <f>E84</f>
        <v>0</v>
      </c>
      <c r="F86" s="89">
        <f>F84</f>
        <v>0</v>
      </c>
    </row>
    <row r="87" spans="1:7" ht="24" x14ac:dyDescent="0.2">
      <c r="A87" s="705"/>
      <c r="B87" s="36" t="s">
        <v>3</v>
      </c>
      <c r="C87" s="63"/>
      <c r="D87" s="88"/>
      <c r="E87" s="88"/>
      <c r="F87" s="88"/>
    </row>
    <row r="88" spans="1:7" ht="19.5" customHeight="1" x14ac:dyDescent="0.2">
      <c r="A88" s="11"/>
      <c r="B88" s="11"/>
      <c r="C88" s="87"/>
      <c r="D88" s="86"/>
      <c r="E88" s="86"/>
      <c r="F88" s="86"/>
    </row>
    <row r="89" spans="1:7" ht="28.5" customHeight="1" x14ac:dyDescent="0.2">
      <c r="A89" s="3" t="s">
        <v>7</v>
      </c>
      <c r="B89" s="11"/>
      <c r="C89" s="87"/>
      <c r="D89" s="85"/>
      <c r="E89" s="85"/>
      <c r="F89" s="85"/>
    </row>
    <row r="91" spans="1:7" ht="24" x14ac:dyDescent="0.2">
      <c r="A91" s="702" t="s">
        <v>17</v>
      </c>
      <c r="B91" s="702"/>
      <c r="C91" s="702"/>
      <c r="D91" s="702"/>
      <c r="E91" s="702"/>
      <c r="F91" s="702"/>
    </row>
    <row r="92" spans="1:7" ht="24" x14ac:dyDescent="0.2">
      <c r="A92" s="5" t="s">
        <v>55</v>
      </c>
      <c r="B92" s="5"/>
      <c r="C92" s="37"/>
      <c r="D92" s="102"/>
      <c r="E92" s="102"/>
      <c r="F92" s="102"/>
    </row>
    <row r="93" spans="1:7" s="104" customFormat="1" ht="24" x14ac:dyDescent="0.2">
      <c r="A93" s="114" t="s">
        <v>60</v>
      </c>
      <c r="B93" s="114"/>
      <c r="C93" s="115"/>
      <c r="E93" s="116"/>
      <c r="F93" s="116" t="s">
        <v>28</v>
      </c>
    </row>
    <row r="94" spans="1:7" ht="11.25" customHeight="1" x14ac:dyDescent="0.2">
      <c r="A94" s="3"/>
      <c r="B94" s="3"/>
      <c r="C94" s="38"/>
      <c r="D94" s="101"/>
      <c r="E94" s="101"/>
      <c r="F94" s="101"/>
    </row>
    <row r="95" spans="1:7" ht="24" x14ac:dyDescent="0.2">
      <c r="A95" s="706" t="s">
        <v>13</v>
      </c>
      <c r="B95" s="22" t="s">
        <v>5</v>
      </c>
      <c r="C95" s="712" t="s">
        <v>1</v>
      </c>
      <c r="D95" s="714" t="s">
        <v>43</v>
      </c>
      <c r="E95" s="714" t="s">
        <v>44</v>
      </c>
      <c r="F95" s="714" t="s">
        <v>45</v>
      </c>
    </row>
    <row r="96" spans="1:7" ht="24" x14ac:dyDescent="0.2">
      <c r="A96" s="707"/>
      <c r="B96" s="23" t="s">
        <v>3</v>
      </c>
      <c r="C96" s="713"/>
      <c r="D96" s="715"/>
      <c r="E96" s="715"/>
      <c r="F96" s="715"/>
    </row>
    <row r="97" spans="1:7" ht="24" x14ac:dyDescent="0.2">
      <c r="A97" s="32" t="s">
        <v>39</v>
      </c>
      <c r="B97" s="31" t="s">
        <v>2</v>
      </c>
      <c r="C97" s="59">
        <f>SUM(D97:F97)</f>
        <v>0</v>
      </c>
      <c r="D97" s="90">
        <f>D99</f>
        <v>0</v>
      </c>
      <c r="E97" s="90">
        <f>E99</f>
        <v>0</v>
      </c>
      <c r="F97" s="90">
        <f>F99</f>
        <v>0</v>
      </c>
    </row>
    <row r="98" spans="1:7" ht="24" x14ac:dyDescent="0.2">
      <c r="A98" s="32"/>
      <c r="B98" s="31" t="s">
        <v>3</v>
      </c>
      <c r="C98" s="59"/>
      <c r="D98" s="90"/>
      <c r="E98" s="90"/>
      <c r="F98" s="90"/>
    </row>
    <row r="99" spans="1:7" ht="24" x14ac:dyDescent="0.2">
      <c r="A99" s="26" t="s">
        <v>68</v>
      </c>
      <c r="B99" s="8" t="s">
        <v>2</v>
      </c>
      <c r="C99" s="60">
        <f>SUM(D99:F99)</f>
        <v>0</v>
      </c>
      <c r="D99" s="100">
        <f>D101+D108</f>
        <v>0</v>
      </c>
      <c r="E99" s="100">
        <f t="shared" ref="E99:F99" si="7">E101+E108</f>
        <v>0</v>
      </c>
      <c r="F99" s="100">
        <f t="shared" si="7"/>
        <v>0</v>
      </c>
    </row>
    <row r="100" spans="1:7" ht="24" x14ac:dyDescent="0.2">
      <c r="A100" s="41"/>
      <c r="B100" s="8" t="s">
        <v>3</v>
      </c>
      <c r="C100" s="60"/>
      <c r="D100" s="100"/>
      <c r="E100" s="100"/>
      <c r="F100" s="100"/>
    </row>
    <row r="101" spans="1:7" s="110" customFormat="1" ht="24" x14ac:dyDescent="0.2">
      <c r="A101" s="107" t="s">
        <v>41</v>
      </c>
      <c r="B101" s="108" t="s">
        <v>2</v>
      </c>
      <c r="C101" s="109">
        <f>SUM(C103:C107)</f>
        <v>0</v>
      </c>
      <c r="D101" s="109">
        <f>SUM(D103:D107)</f>
        <v>0</v>
      </c>
      <c r="E101" s="109">
        <f>SUM(E103:E107)</f>
        <v>0</v>
      </c>
      <c r="F101" s="109">
        <f>SUM(F103:F107)</f>
        <v>0</v>
      </c>
    </row>
    <row r="102" spans="1:7" ht="24" x14ac:dyDescent="0.2">
      <c r="A102" s="34"/>
      <c r="B102" s="25" t="s">
        <v>3</v>
      </c>
      <c r="C102" s="61"/>
      <c r="D102" s="99"/>
      <c r="E102" s="99"/>
      <c r="F102" s="99"/>
    </row>
    <row r="103" spans="1:7" ht="24" x14ac:dyDescent="0.2">
      <c r="A103" s="40" t="s">
        <v>18</v>
      </c>
      <c r="B103" s="25"/>
      <c r="C103" s="61"/>
      <c r="D103" s="98"/>
      <c r="E103" s="98"/>
      <c r="F103" s="98"/>
    </row>
    <row r="104" spans="1:7" ht="24" x14ac:dyDescent="0.2">
      <c r="A104" s="28" t="s">
        <v>9</v>
      </c>
      <c r="B104" s="25"/>
      <c r="C104" s="61"/>
      <c r="D104" s="98"/>
      <c r="E104" s="98"/>
      <c r="F104" s="98"/>
    </row>
    <row r="105" spans="1:7" s="122" customFormat="1" ht="24" x14ac:dyDescent="0.2">
      <c r="A105" s="27" t="s">
        <v>19</v>
      </c>
      <c r="B105" s="118" t="s">
        <v>2</v>
      </c>
      <c r="C105" s="119">
        <f>SUM(D105:F105)</f>
        <v>0</v>
      </c>
      <c r="D105" s="120"/>
      <c r="E105" s="120"/>
      <c r="F105" s="120"/>
      <c r="G105" s="121" t="s">
        <v>59</v>
      </c>
    </row>
    <row r="106" spans="1:7" ht="24" x14ac:dyDescent="0.2">
      <c r="A106" s="28" t="s">
        <v>11</v>
      </c>
      <c r="B106" s="25"/>
      <c r="C106" s="61"/>
      <c r="D106" s="97"/>
      <c r="E106" s="97"/>
      <c r="F106" s="97"/>
    </row>
    <row r="107" spans="1:7" ht="24" x14ac:dyDescent="0.2">
      <c r="A107" s="27" t="s">
        <v>27</v>
      </c>
      <c r="B107" s="25" t="s">
        <v>2</v>
      </c>
      <c r="C107" s="61">
        <f>SUM(D107:F107)</f>
        <v>0</v>
      </c>
      <c r="D107" s="96"/>
      <c r="E107" s="96"/>
      <c r="F107" s="96"/>
    </row>
    <row r="108" spans="1:7" s="110" customFormat="1" ht="24" x14ac:dyDescent="0.2">
      <c r="A108" s="111" t="s">
        <v>51</v>
      </c>
      <c r="B108" s="108" t="s">
        <v>2</v>
      </c>
      <c r="C108" s="109">
        <f>SUM(C112:C118)</f>
        <v>0</v>
      </c>
      <c r="D108" s="109">
        <f>SUM(D112:D118)</f>
        <v>0</v>
      </c>
      <c r="E108" s="109">
        <f>SUM(E112:E118)</f>
        <v>0</v>
      </c>
      <c r="F108" s="109">
        <f>SUM(F112:F118)</f>
        <v>0</v>
      </c>
    </row>
    <row r="109" spans="1:7" ht="24" x14ac:dyDescent="0.2">
      <c r="A109" s="34"/>
      <c r="B109" s="25" t="s">
        <v>3</v>
      </c>
      <c r="C109" s="61"/>
      <c r="D109" s="99"/>
      <c r="E109" s="99"/>
      <c r="F109" s="99"/>
    </row>
    <row r="110" spans="1:7" ht="24" x14ac:dyDescent="0.2">
      <c r="A110" s="40" t="s">
        <v>38</v>
      </c>
      <c r="B110" s="25"/>
      <c r="C110" s="61"/>
      <c r="D110" s="98"/>
      <c r="E110" s="98"/>
      <c r="F110" s="98"/>
    </row>
    <row r="111" spans="1:7" ht="24" x14ac:dyDescent="0.2">
      <c r="A111" s="28" t="s">
        <v>9</v>
      </c>
      <c r="B111" s="25"/>
      <c r="C111" s="61"/>
      <c r="D111" s="98"/>
      <c r="E111" s="98"/>
      <c r="F111" s="98"/>
    </row>
    <row r="112" spans="1:7" s="122" customFormat="1" ht="24" x14ac:dyDescent="0.2">
      <c r="A112" s="117" t="s">
        <v>20</v>
      </c>
      <c r="B112" s="118" t="s">
        <v>2</v>
      </c>
      <c r="C112" s="119">
        <f>SUM(D112:F112)</f>
        <v>0</v>
      </c>
      <c r="D112" s="120"/>
      <c r="E112" s="120"/>
      <c r="F112" s="120"/>
      <c r="G112" s="121" t="s">
        <v>59</v>
      </c>
    </row>
    <row r="113" spans="1:7" ht="24" x14ac:dyDescent="0.2">
      <c r="A113" s="28" t="s">
        <v>10</v>
      </c>
      <c r="B113" s="25"/>
      <c r="C113" s="61"/>
      <c r="D113" s="98"/>
      <c r="E113" s="98"/>
      <c r="F113" s="98"/>
    </row>
    <row r="114" spans="1:7" ht="24" x14ac:dyDescent="0.2">
      <c r="A114" s="27" t="s">
        <v>29</v>
      </c>
      <c r="B114" s="25" t="s">
        <v>2</v>
      </c>
      <c r="C114" s="61">
        <f>SUM(D114:F114)</f>
        <v>0</v>
      </c>
      <c r="D114" s="96"/>
      <c r="E114" s="96"/>
      <c r="F114" s="96"/>
      <c r="G114" s="92"/>
    </row>
    <row r="115" spans="1:7" ht="24" x14ac:dyDescent="0.2">
      <c r="A115" s="27" t="s">
        <v>23</v>
      </c>
      <c r="B115" s="25" t="s">
        <v>2</v>
      </c>
      <c r="C115" s="61">
        <f>SUM(D115:F115)</f>
        <v>0</v>
      </c>
      <c r="D115" s="96"/>
      <c r="E115" s="96"/>
      <c r="F115" s="96"/>
    </row>
    <row r="116" spans="1:7" ht="24" x14ac:dyDescent="0.2">
      <c r="A116" s="103" t="s">
        <v>61</v>
      </c>
      <c r="B116" s="25" t="s">
        <v>2</v>
      </c>
      <c r="C116" s="61">
        <f t="shared" ref="C116:C117" si="8">SUM(D116:F116)</f>
        <v>0</v>
      </c>
      <c r="D116" s="96"/>
      <c r="E116" s="96"/>
      <c r="F116" s="96"/>
    </row>
    <row r="117" spans="1:7" ht="24" x14ac:dyDescent="0.2">
      <c r="A117" s="103" t="s">
        <v>62</v>
      </c>
      <c r="B117" s="25" t="s">
        <v>2</v>
      </c>
      <c r="C117" s="61">
        <f t="shared" si="8"/>
        <v>0</v>
      </c>
      <c r="D117" s="96"/>
      <c r="E117" s="96"/>
      <c r="F117" s="96"/>
    </row>
    <row r="118" spans="1:7" ht="24" x14ac:dyDescent="0.2">
      <c r="A118" s="28" t="s">
        <v>11</v>
      </c>
      <c r="B118" s="25"/>
      <c r="C118" s="61"/>
      <c r="D118" s="97"/>
      <c r="E118" s="97"/>
      <c r="F118" s="97"/>
    </row>
    <row r="119" spans="1:7" ht="24" x14ac:dyDescent="0.2">
      <c r="A119" s="27" t="s">
        <v>26</v>
      </c>
      <c r="B119" s="25" t="s">
        <v>2</v>
      </c>
      <c r="C119" s="61">
        <f>SUM(D119:F119)</f>
        <v>0</v>
      </c>
      <c r="D119" s="96"/>
      <c r="E119" s="96"/>
      <c r="F119" s="96"/>
    </row>
    <row r="120" spans="1:7" ht="24" x14ac:dyDescent="0.2">
      <c r="A120" s="27" t="s">
        <v>30</v>
      </c>
      <c r="B120" s="25" t="s">
        <v>2</v>
      </c>
      <c r="C120" s="61">
        <f>SUM(D120:F120)</f>
        <v>0</v>
      </c>
      <c r="D120" s="96"/>
      <c r="E120" s="96"/>
      <c r="F120" s="96"/>
      <c r="G120" s="92"/>
    </row>
    <row r="121" spans="1:7" ht="24" x14ac:dyDescent="0.2">
      <c r="A121" s="103" t="s">
        <v>56</v>
      </c>
      <c r="B121" s="25" t="s">
        <v>2</v>
      </c>
      <c r="C121" s="61">
        <f t="shared" ref="C121:C123" si="9">SUM(D121:F121)</f>
        <v>0</v>
      </c>
      <c r="D121" s="96"/>
      <c r="E121" s="96"/>
      <c r="F121" s="96"/>
      <c r="G121" s="92"/>
    </row>
    <row r="122" spans="1:7" ht="24" x14ac:dyDescent="0.2">
      <c r="A122" s="103" t="s">
        <v>63</v>
      </c>
      <c r="B122" s="25" t="s">
        <v>2</v>
      </c>
      <c r="C122" s="61">
        <f t="shared" si="9"/>
        <v>0</v>
      </c>
      <c r="D122" s="96"/>
      <c r="E122" s="96"/>
      <c r="F122" s="96"/>
      <c r="G122" s="92"/>
    </row>
    <row r="123" spans="1:7" ht="24" x14ac:dyDescent="0.2">
      <c r="A123" s="103" t="s">
        <v>64</v>
      </c>
      <c r="B123" s="25" t="s">
        <v>2</v>
      </c>
      <c r="C123" s="61">
        <f t="shared" si="9"/>
        <v>0</v>
      </c>
      <c r="D123" s="96"/>
      <c r="E123" s="96"/>
      <c r="F123" s="96"/>
      <c r="G123" s="92"/>
    </row>
    <row r="124" spans="1:7" s="110" customFormat="1" ht="24" x14ac:dyDescent="0.2">
      <c r="A124" s="111" t="s">
        <v>42</v>
      </c>
      <c r="B124" s="108" t="s">
        <v>2</v>
      </c>
      <c r="C124" s="112">
        <f>C126</f>
        <v>0</v>
      </c>
      <c r="D124" s="113">
        <f>D126</f>
        <v>0</v>
      </c>
      <c r="E124" s="113">
        <f>E126</f>
        <v>0</v>
      </c>
      <c r="F124" s="113">
        <f>F126</f>
        <v>0</v>
      </c>
    </row>
    <row r="125" spans="1:7" ht="24" x14ac:dyDescent="0.2">
      <c r="A125" s="34"/>
      <c r="B125" s="25" t="s">
        <v>3</v>
      </c>
      <c r="C125" s="112"/>
      <c r="D125" s="93"/>
      <c r="E125" s="105"/>
      <c r="F125" s="96"/>
    </row>
    <row r="126" spans="1:7" ht="24" x14ac:dyDescent="0.2">
      <c r="A126" s="103" t="s">
        <v>65</v>
      </c>
      <c r="B126" s="25" t="s">
        <v>2</v>
      </c>
      <c r="C126" s="112">
        <f>SUM(D126:F126)</f>
        <v>0</v>
      </c>
      <c r="D126" s="93">
        <v>0</v>
      </c>
      <c r="E126" s="93">
        <v>0</v>
      </c>
      <c r="F126" s="106">
        <v>0</v>
      </c>
    </row>
    <row r="127" spans="1:7" ht="24" x14ac:dyDescent="0.2">
      <c r="A127" s="124" t="s">
        <v>66</v>
      </c>
      <c r="B127" s="95"/>
      <c r="C127" s="123"/>
      <c r="D127" s="93"/>
      <c r="E127" s="93"/>
      <c r="F127" s="106"/>
    </row>
    <row r="128" spans="1:7" ht="24" x14ac:dyDescent="0.2">
      <c r="A128" s="27"/>
      <c r="B128" s="95"/>
      <c r="C128" s="94"/>
      <c r="D128" s="93"/>
      <c r="E128" s="93"/>
      <c r="F128" s="93"/>
      <c r="G128" s="92"/>
    </row>
    <row r="129" spans="1:6" ht="24" x14ac:dyDescent="0.2">
      <c r="A129" s="44" t="s">
        <v>47</v>
      </c>
      <c r="B129" s="31" t="s">
        <v>2</v>
      </c>
      <c r="C129" s="59">
        <f>C97</f>
        <v>0</v>
      </c>
      <c r="D129" s="91">
        <f>D97</f>
        <v>0</v>
      </c>
      <c r="E129" s="91">
        <f>E97</f>
        <v>0</v>
      </c>
      <c r="F129" s="91">
        <f>F97</f>
        <v>0</v>
      </c>
    </row>
    <row r="130" spans="1:6" ht="24" x14ac:dyDescent="0.2">
      <c r="A130" s="44"/>
      <c r="B130" s="31" t="s">
        <v>3</v>
      </c>
      <c r="C130" s="59"/>
      <c r="D130" s="90"/>
      <c r="E130" s="90"/>
      <c r="F130" s="90"/>
    </row>
    <row r="131" spans="1:6" ht="24" x14ac:dyDescent="0.2">
      <c r="A131" s="704" t="s">
        <v>6</v>
      </c>
      <c r="B131" s="35" t="s">
        <v>2</v>
      </c>
      <c r="C131" s="62">
        <f>C129</f>
        <v>0</v>
      </c>
      <c r="D131" s="89">
        <f>D129</f>
        <v>0</v>
      </c>
      <c r="E131" s="89">
        <f>E129</f>
        <v>0</v>
      </c>
      <c r="F131" s="89">
        <f>F129</f>
        <v>0</v>
      </c>
    </row>
    <row r="132" spans="1:6" ht="24" x14ac:dyDescent="0.2">
      <c r="A132" s="705"/>
      <c r="B132" s="36" t="s">
        <v>3</v>
      </c>
      <c r="C132" s="63"/>
      <c r="D132" s="88"/>
      <c r="E132" s="88"/>
      <c r="F132" s="88"/>
    </row>
    <row r="133" spans="1:6" ht="19.5" customHeight="1" x14ac:dyDescent="0.2">
      <c r="A133" s="11"/>
      <c r="B133" s="11"/>
      <c r="C133" s="87"/>
      <c r="D133" s="86"/>
      <c r="E133" s="86"/>
      <c r="F133" s="86"/>
    </row>
    <row r="134" spans="1:6" ht="28.5" customHeight="1" x14ac:dyDescent="0.2">
      <c r="A134" s="3" t="s">
        <v>7</v>
      </c>
      <c r="B134" s="11"/>
      <c r="C134" s="87"/>
      <c r="D134" s="85"/>
      <c r="E134" s="85"/>
      <c r="F134" s="85"/>
    </row>
    <row r="136" spans="1:6" ht="24" x14ac:dyDescent="0.2">
      <c r="A136" s="702" t="s">
        <v>17</v>
      </c>
      <c r="B136" s="702"/>
      <c r="C136" s="702"/>
      <c r="D136" s="702"/>
      <c r="E136" s="702"/>
      <c r="F136" s="702"/>
    </row>
    <row r="137" spans="1:6" ht="24" x14ac:dyDescent="0.2">
      <c r="A137" s="5" t="s">
        <v>55</v>
      </c>
      <c r="B137" s="5"/>
      <c r="C137" s="37"/>
      <c r="D137" s="102"/>
      <c r="E137" s="102"/>
      <c r="F137" s="102"/>
    </row>
    <row r="138" spans="1:6" s="104" customFormat="1" ht="24" x14ac:dyDescent="0.2">
      <c r="A138" s="114" t="s">
        <v>69</v>
      </c>
      <c r="B138" s="114"/>
      <c r="C138" s="115"/>
      <c r="E138" s="116"/>
      <c r="F138" s="116" t="s">
        <v>28</v>
      </c>
    </row>
    <row r="139" spans="1:6" ht="11.25" customHeight="1" x14ac:dyDescent="0.2">
      <c r="A139" s="3"/>
      <c r="B139" s="3"/>
      <c r="C139" s="38"/>
      <c r="D139" s="101"/>
      <c r="E139" s="101"/>
      <c r="F139" s="101"/>
    </row>
    <row r="140" spans="1:6" ht="24" x14ac:dyDescent="0.2">
      <c r="A140" s="706" t="s">
        <v>13</v>
      </c>
      <c r="B140" s="22" t="s">
        <v>5</v>
      </c>
      <c r="C140" s="712" t="s">
        <v>1</v>
      </c>
      <c r="D140" s="714" t="s">
        <v>43</v>
      </c>
      <c r="E140" s="714" t="s">
        <v>44</v>
      </c>
      <c r="F140" s="714" t="s">
        <v>45</v>
      </c>
    </row>
    <row r="141" spans="1:6" ht="24" x14ac:dyDescent="0.2">
      <c r="A141" s="707"/>
      <c r="B141" s="23" t="s">
        <v>3</v>
      </c>
      <c r="C141" s="713"/>
      <c r="D141" s="715"/>
      <c r="E141" s="715"/>
      <c r="F141" s="715"/>
    </row>
    <row r="142" spans="1:6" ht="24" x14ac:dyDescent="0.2">
      <c r="A142" s="32" t="s">
        <v>39</v>
      </c>
      <c r="B142" s="31" t="s">
        <v>2</v>
      </c>
      <c r="C142" s="59">
        <f>SUM(D142:F142)</f>
        <v>0</v>
      </c>
      <c r="D142" s="90">
        <f>D144</f>
        <v>0</v>
      </c>
      <c r="E142" s="90">
        <f>E144</f>
        <v>0</v>
      </c>
      <c r="F142" s="90">
        <f>F144</f>
        <v>0</v>
      </c>
    </row>
    <row r="143" spans="1:6" ht="24" x14ac:dyDescent="0.2">
      <c r="A143" s="32"/>
      <c r="B143" s="31" t="s">
        <v>3</v>
      </c>
      <c r="C143" s="59"/>
      <c r="D143" s="90"/>
      <c r="E143" s="90"/>
      <c r="F143" s="90"/>
    </row>
    <row r="144" spans="1:6" ht="24" x14ac:dyDescent="0.2">
      <c r="A144" s="26" t="s">
        <v>73</v>
      </c>
      <c r="B144" s="8" t="s">
        <v>2</v>
      </c>
      <c r="C144" s="60">
        <f>SUM(D144:F144)</f>
        <v>0</v>
      </c>
      <c r="D144" s="100">
        <f>D146+D153</f>
        <v>0</v>
      </c>
      <c r="E144" s="100">
        <f t="shared" ref="E144:F144" si="10">E146+E153</f>
        <v>0</v>
      </c>
      <c r="F144" s="100">
        <f t="shared" si="10"/>
        <v>0</v>
      </c>
    </row>
    <row r="145" spans="1:7" ht="24" x14ac:dyDescent="0.2">
      <c r="A145" s="41"/>
      <c r="B145" s="8" t="s">
        <v>3</v>
      </c>
      <c r="C145" s="60"/>
      <c r="D145" s="100"/>
      <c r="E145" s="100"/>
      <c r="F145" s="100"/>
    </row>
    <row r="146" spans="1:7" s="110" customFormat="1" ht="24" x14ac:dyDescent="0.2">
      <c r="A146" s="107" t="s">
        <v>41</v>
      </c>
      <c r="B146" s="108" t="s">
        <v>2</v>
      </c>
      <c r="C146" s="109">
        <f>SUM(C148:C152)</f>
        <v>0</v>
      </c>
      <c r="D146" s="109">
        <f>SUM(D148:D152)</f>
        <v>0</v>
      </c>
      <c r="E146" s="109">
        <f>SUM(E148:E152)</f>
        <v>0</v>
      </c>
      <c r="F146" s="109">
        <f>SUM(F148:F152)</f>
        <v>0</v>
      </c>
    </row>
    <row r="147" spans="1:7" ht="24" x14ac:dyDescent="0.2">
      <c r="A147" s="34"/>
      <c r="B147" s="25" t="s">
        <v>3</v>
      </c>
      <c r="C147" s="61"/>
      <c r="D147" s="99"/>
      <c r="E147" s="99"/>
      <c r="F147" s="99"/>
    </row>
    <row r="148" spans="1:7" ht="24" x14ac:dyDescent="0.2">
      <c r="A148" s="40" t="s">
        <v>18</v>
      </c>
      <c r="B148" s="25"/>
      <c r="C148" s="61"/>
      <c r="D148" s="98"/>
      <c r="E148" s="98"/>
      <c r="F148" s="98"/>
    </row>
    <row r="149" spans="1:7" ht="24" x14ac:dyDescent="0.2">
      <c r="A149" s="28" t="s">
        <v>9</v>
      </c>
      <c r="B149" s="25"/>
      <c r="C149" s="61"/>
      <c r="D149" s="98"/>
      <c r="E149" s="98"/>
      <c r="F149" s="98"/>
    </row>
    <row r="150" spans="1:7" s="122" customFormat="1" ht="24" x14ac:dyDescent="0.2">
      <c r="A150" s="27" t="s">
        <v>19</v>
      </c>
      <c r="B150" s="118" t="s">
        <v>2</v>
      </c>
      <c r="C150" s="119">
        <f>SUM(D150:F150)</f>
        <v>0</v>
      </c>
      <c r="D150" s="120"/>
      <c r="E150" s="120"/>
      <c r="F150" s="120"/>
      <c r="G150" s="121" t="s">
        <v>59</v>
      </c>
    </row>
    <row r="151" spans="1:7" ht="24" x14ac:dyDescent="0.2">
      <c r="A151" s="28" t="s">
        <v>11</v>
      </c>
      <c r="B151" s="25"/>
      <c r="C151" s="61"/>
      <c r="D151" s="97"/>
      <c r="E151" s="97"/>
      <c r="F151" s="97"/>
    </row>
    <row r="152" spans="1:7" ht="24" x14ac:dyDescent="0.2">
      <c r="A152" s="27" t="s">
        <v>27</v>
      </c>
      <c r="B152" s="25" t="s">
        <v>2</v>
      </c>
      <c r="C152" s="61">
        <f>SUM(D152:F152)</f>
        <v>0</v>
      </c>
      <c r="D152" s="96"/>
      <c r="E152" s="96"/>
      <c r="F152" s="96"/>
    </row>
    <row r="153" spans="1:7" s="110" customFormat="1" ht="24" x14ac:dyDescent="0.2">
      <c r="A153" s="111" t="s">
        <v>51</v>
      </c>
      <c r="B153" s="108" t="s">
        <v>2</v>
      </c>
      <c r="C153" s="109">
        <f>SUM(C157:C160)</f>
        <v>0</v>
      </c>
      <c r="D153" s="109">
        <f>SUM(D157:D160)</f>
        <v>0</v>
      </c>
      <c r="E153" s="109">
        <f>SUM(E157:E160)</f>
        <v>0</v>
      </c>
      <c r="F153" s="109">
        <f>SUM(F157:F160)</f>
        <v>0</v>
      </c>
    </row>
    <row r="154" spans="1:7" ht="24" x14ac:dyDescent="0.2">
      <c r="A154" s="34"/>
      <c r="B154" s="25" t="s">
        <v>3</v>
      </c>
      <c r="C154" s="61"/>
      <c r="D154" s="99"/>
      <c r="E154" s="99"/>
      <c r="F154" s="99"/>
    </row>
    <row r="155" spans="1:7" ht="24" x14ac:dyDescent="0.2">
      <c r="A155" s="40" t="s">
        <v>38</v>
      </c>
      <c r="B155" s="25"/>
      <c r="C155" s="61"/>
      <c r="D155" s="98"/>
      <c r="E155" s="98"/>
      <c r="F155" s="98"/>
    </row>
    <row r="156" spans="1:7" ht="24" x14ac:dyDescent="0.2">
      <c r="A156" s="28" t="s">
        <v>9</v>
      </c>
      <c r="B156" s="25"/>
      <c r="C156" s="61"/>
      <c r="D156" s="98"/>
      <c r="E156" s="98"/>
      <c r="F156" s="98"/>
    </row>
    <row r="157" spans="1:7" s="122" customFormat="1" ht="24" x14ac:dyDescent="0.2">
      <c r="A157" s="117" t="s">
        <v>20</v>
      </c>
      <c r="B157" s="118" t="s">
        <v>2</v>
      </c>
      <c r="C157" s="119">
        <f>SUM(D157:F157)</f>
        <v>0</v>
      </c>
      <c r="D157" s="120"/>
      <c r="E157" s="120"/>
      <c r="F157" s="120"/>
      <c r="G157" s="121" t="s">
        <v>59</v>
      </c>
    </row>
    <row r="158" spans="1:7" ht="24" x14ac:dyDescent="0.2">
      <c r="A158" s="28" t="s">
        <v>10</v>
      </c>
      <c r="B158" s="25"/>
      <c r="C158" s="61"/>
      <c r="D158" s="98"/>
      <c r="E158" s="98"/>
      <c r="F158" s="98"/>
    </row>
    <row r="159" spans="1:7" ht="24" x14ac:dyDescent="0.2">
      <c r="A159" s="27" t="s">
        <v>29</v>
      </c>
      <c r="B159" s="25" t="s">
        <v>2</v>
      </c>
      <c r="C159" s="61">
        <f>SUM(D159:F159)</f>
        <v>0</v>
      </c>
      <c r="D159" s="96"/>
      <c r="E159" s="96"/>
      <c r="F159" s="96"/>
      <c r="G159" s="92"/>
    </row>
    <row r="160" spans="1:7" ht="24" x14ac:dyDescent="0.2">
      <c r="A160" s="28" t="s">
        <v>11</v>
      </c>
      <c r="B160" s="25"/>
      <c r="C160" s="61"/>
      <c r="D160" s="97"/>
      <c r="E160" s="97"/>
      <c r="F160" s="97"/>
    </row>
    <row r="161" spans="1:7" ht="24" x14ac:dyDescent="0.2">
      <c r="A161" s="27" t="s">
        <v>30</v>
      </c>
      <c r="B161" s="25" t="s">
        <v>2</v>
      </c>
      <c r="C161" s="61">
        <f>SUM(D161:F161)</f>
        <v>0</v>
      </c>
      <c r="D161" s="96"/>
      <c r="E161" s="96"/>
      <c r="F161" s="96"/>
      <c r="G161" s="92"/>
    </row>
    <row r="162" spans="1:7" ht="24" x14ac:dyDescent="0.2">
      <c r="A162" s="103" t="s">
        <v>70</v>
      </c>
      <c r="B162" s="25" t="s">
        <v>2</v>
      </c>
      <c r="C162" s="61">
        <f t="shared" ref="C162:C164" si="11">SUM(D162:F162)</f>
        <v>0</v>
      </c>
      <c r="D162" s="96"/>
      <c r="E162" s="96"/>
      <c r="F162" s="96"/>
      <c r="G162" s="92"/>
    </row>
    <row r="163" spans="1:7" ht="24" x14ac:dyDescent="0.2">
      <c r="A163" s="103" t="s">
        <v>71</v>
      </c>
      <c r="B163" s="25" t="s">
        <v>2</v>
      </c>
      <c r="C163" s="61">
        <f t="shared" si="11"/>
        <v>0</v>
      </c>
      <c r="D163" s="96"/>
      <c r="E163" s="96"/>
      <c r="F163" s="96"/>
      <c r="G163" s="92"/>
    </row>
    <row r="164" spans="1:7" ht="24" x14ac:dyDescent="0.2">
      <c r="A164" s="103" t="s">
        <v>72</v>
      </c>
      <c r="B164" s="25" t="s">
        <v>2</v>
      </c>
      <c r="C164" s="61">
        <f t="shared" si="11"/>
        <v>0</v>
      </c>
      <c r="D164" s="96"/>
      <c r="E164" s="96"/>
      <c r="F164" s="96"/>
      <c r="G164" s="92"/>
    </row>
    <row r="165" spans="1:7" ht="24" x14ac:dyDescent="0.2">
      <c r="A165" s="103"/>
      <c r="B165" s="25"/>
      <c r="C165" s="61"/>
      <c r="D165" s="96"/>
      <c r="E165" s="96"/>
      <c r="F165" s="96"/>
      <c r="G165" s="92"/>
    </row>
    <row r="166" spans="1:7" ht="24" x14ac:dyDescent="0.2">
      <c r="A166" s="27"/>
      <c r="B166" s="95"/>
      <c r="C166" s="94"/>
      <c r="D166" s="93"/>
      <c r="E166" s="93"/>
      <c r="F166" s="93"/>
      <c r="G166" s="92"/>
    </row>
    <row r="167" spans="1:7" ht="24" x14ac:dyDescent="0.2">
      <c r="A167" s="44" t="s">
        <v>47</v>
      </c>
      <c r="B167" s="31" t="s">
        <v>2</v>
      </c>
      <c r="C167" s="59">
        <f>C142</f>
        <v>0</v>
      </c>
      <c r="D167" s="91">
        <f>D142</f>
        <v>0</v>
      </c>
      <c r="E167" s="91">
        <f>E142</f>
        <v>0</v>
      </c>
      <c r="F167" s="91">
        <f>F142</f>
        <v>0</v>
      </c>
    </row>
    <row r="168" spans="1:7" ht="24" x14ac:dyDescent="0.2">
      <c r="A168" s="44"/>
      <c r="B168" s="31" t="s">
        <v>3</v>
      </c>
      <c r="C168" s="59"/>
      <c r="D168" s="90"/>
      <c r="E168" s="90"/>
      <c r="F168" s="90"/>
    </row>
    <row r="169" spans="1:7" ht="24" x14ac:dyDescent="0.2">
      <c r="A169" s="704" t="s">
        <v>6</v>
      </c>
      <c r="B169" s="35" t="s">
        <v>2</v>
      </c>
      <c r="C169" s="62">
        <f>C167</f>
        <v>0</v>
      </c>
      <c r="D169" s="89">
        <f>D167</f>
        <v>0</v>
      </c>
      <c r="E169" s="89">
        <f>E167</f>
        <v>0</v>
      </c>
      <c r="F169" s="89">
        <f>F167</f>
        <v>0</v>
      </c>
    </row>
    <row r="170" spans="1:7" ht="24" x14ac:dyDescent="0.2">
      <c r="A170" s="705"/>
      <c r="B170" s="36" t="s">
        <v>3</v>
      </c>
      <c r="C170" s="63"/>
      <c r="D170" s="88"/>
      <c r="E170" s="88"/>
      <c r="F170" s="88"/>
    </row>
    <row r="171" spans="1:7" ht="19.5" customHeight="1" x14ac:dyDescent="0.2">
      <c r="A171" s="11"/>
      <c r="B171" s="11"/>
      <c r="C171" s="87"/>
      <c r="D171" s="86"/>
      <c r="E171" s="86"/>
      <c r="F171" s="86"/>
    </row>
    <row r="172" spans="1:7" ht="28.5" customHeight="1" x14ac:dyDescent="0.2">
      <c r="A172" s="3" t="s">
        <v>7</v>
      </c>
      <c r="B172" s="11"/>
      <c r="C172" s="87"/>
      <c r="D172" s="85"/>
      <c r="E172" s="85"/>
      <c r="F172" s="85"/>
    </row>
  </sheetData>
  <mergeCells count="28">
    <mergeCell ref="A169:A170"/>
    <mergeCell ref="A131:A132"/>
    <mergeCell ref="A136:F136"/>
    <mergeCell ref="A140:A141"/>
    <mergeCell ref="C140:C141"/>
    <mergeCell ref="D140:D141"/>
    <mergeCell ref="E140:E141"/>
    <mergeCell ref="F140:F141"/>
    <mergeCell ref="A91:F91"/>
    <mergeCell ref="A95:A96"/>
    <mergeCell ref="C95:C96"/>
    <mergeCell ref="D95:D96"/>
    <mergeCell ref="E95:E96"/>
    <mergeCell ref="F95:F96"/>
    <mergeCell ref="A86:A87"/>
    <mergeCell ref="A41:A42"/>
    <mergeCell ref="A46:F46"/>
    <mergeCell ref="A50:A51"/>
    <mergeCell ref="C50:C51"/>
    <mergeCell ref="D50:D51"/>
    <mergeCell ref="E50:E51"/>
    <mergeCell ref="F50:F51"/>
    <mergeCell ref="A1:F1"/>
    <mergeCell ref="A5:A6"/>
    <mergeCell ref="C5:C6"/>
    <mergeCell ref="D5:D6"/>
    <mergeCell ref="E5:E6"/>
    <mergeCell ref="F5:F6"/>
  </mergeCells>
  <pageMargins left="0.39370078740157483" right="0.39370078740157483" top="0.74803149606299213" bottom="0.19685039370078741" header="0.31496062992125984" footer="0.11811023622047245"/>
  <pageSetup paperSize="9" scale="80" orientation="landscape" horizontalDpi="4294967295" verticalDpi="4294967295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68931F-593C-4AEA-AA02-ED2FD53B40E1}">
  <sheetPr>
    <tabColor rgb="FFFF0000"/>
  </sheetPr>
  <dimension ref="A1:G151"/>
  <sheetViews>
    <sheetView workbookViewId="0">
      <selection activeCell="A31" sqref="A31"/>
    </sheetView>
  </sheetViews>
  <sheetFormatPr defaultRowHeight="14.25" x14ac:dyDescent="0.2"/>
  <cols>
    <col min="1" max="1" width="70.125" customWidth="1"/>
    <col min="2" max="2" width="8.125" customWidth="1"/>
    <col min="3" max="3" width="21.25" style="39" customWidth="1"/>
    <col min="4" max="6" width="21.25" style="84" customWidth="1"/>
    <col min="7" max="17" width="39.375" customWidth="1"/>
  </cols>
  <sheetData>
    <row r="1" spans="1:7" ht="24" x14ac:dyDescent="0.2">
      <c r="A1" s="702" t="s">
        <v>17</v>
      </c>
      <c r="B1" s="702"/>
      <c r="C1" s="702"/>
      <c r="D1" s="702"/>
      <c r="E1" s="702"/>
      <c r="F1" s="702"/>
    </row>
    <row r="2" spans="1:7" ht="24" x14ac:dyDescent="0.2">
      <c r="A2" s="5" t="s">
        <v>55</v>
      </c>
      <c r="B2" s="5"/>
      <c r="C2" s="37"/>
      <c r="D2" s="102"/>
      <c r="E2" s="102"/>
      <c r="F2" s="102"/>
    </row>
    <row r="3" spans="1:7" s="104" customFormat="1" ht="24" x14ac:dyDescent="0.2">
      <c r="A3" s="114" t="s">
        <v>74</v>
      </c>
      <c r="B3" s="114"/>
      <c r="C3" s="115"/>
      <c r="E3" s="116"/>
      <c r="F3" s="116" t="s">
        <v>28</v>
      </c>
    </row>
    <row r="4" spans="1:7" ht="11.25" customHeight="1" x14ac:dyDescent="0.2">
      <c r="A4" s="3"/>
      <c r="B4" s="3"/>
      <c r="C4" s="38"/>
      <c r="D4" s="101"/>
      <c r="E4" s="101"/>
      <c r="F4" s="101"/>
    </row>
    <row r="5" spans="1:7" ht="24" x14ac:dyDescent="0.2">
      <c r="A5" s="706" t="s">
        <v>13</v>
      </c>
      <c r="B5" s="22" t="s">
        <v>5</v>
      </c>
      <c r="C5" s="712" t="s">
        <v>1</v>
      </c>
      <c r="D5" s="714" t="s">
        <v>43</v>
      </c>
      <c r="E5" s="714" t="s">
        <v>44</v>
      </c>
      <c r="F5" s="714" t="s">
        <v>45</v>
      </c>
    </row>
    <row r="6" spans="1:7" ht="24" x14ac:dyDescent="0.2">
      <c r="A6" s="707"/>
      <c r="B6" s="23" t="s">
        <v>3</v>
      </c>
      <c r="C6" s="713"/>
      <c r="D6" s="715"/>
      <c r="E6" s="715"/>
      <c r="F6" s="715"/>
    </row>
    <row r="7" spans="1:7" ht="24" x14ac:dyDescent="0.2">
      <c r="A7" s="32" t="s">
        <v>39</v>
      </c>
      <c r="B7" s="31" t="s">
        <v>2</v>
      </c>
      <c r="C7" s="59">
        <f>SUM(D7:F7)</f>
        <v>0</v>
      </c>
      <c r="D7" s="90">
        <f>D9</f>
        <v>0</v>
      </c>
      <c r="E7" s="90">
        <f>E9</f>
        <v>0</v>
      </c>
      <c r="F7" s="90">
        <f>F9</f>
        <v>0</v>
      </c>
    </row>
    <row r="8" spans="1:7" ht="24" x14ac:dyDescent="0.2">
      <c r="A8" s="32"/>
      <c r="B8" s="31" t="s">
        <v>3</v>
      </c>
      <c r="C8" s="59"/>
      <c r="D8" s="90"/>
      <c r="E8" s="90"/>
      <c r="F8" s="90"/>
    </row>
    <row r="9" spans="1:7" ht="24" x14ac:dyDescent="0.2">
      <c r="A9" s="26" t="s">
        <v>89</v>
      </c>
      <c r="B9" s="8" t="s">
        <v>2</v>
      </c>
      <c r="C9" s="60">
        <f>SUM(D9:F9)</f>
        <v>0</v>
      </c>
      <c r="D9" s="100">
        <f>D11+D18+D38</f>
        <v>0</v>
      </c>
      <c r="E9" s="100">
        <f>E11+E18+E38</f>
        <v>0</v>
      </c>
      <c r="F9" s="100">
        <f>F11+F18+F38</f>
        <v>0</v>
      </c>
    </row>
    <row r="10" spans="1:7" ht="24" x14ac:dyDescent="0.2">
      <c r="A10" s="41"/>
      <c r="B10" s="8" t="s">
        <v>3</v>
      </c>
      <c r="C10" s="60"/>
      <c r="D10" s="100"/>
      <c r="E10" s="100"/>
      <c r="F10" s="100"/>
    </row>
    <row r="11" spans="1:7" s="110" customFormat="1" ht="24" x14ac:dyDescent="0.2">
      <c r="A11" s="107" t="s">
        <v>41</v>
      </c>
      <c r="B11" s="108" t="s">
        <v>2</v>
      </c>
      <c r="C11" s="109">
        <f>SUM(C13:C17)</f>
        <v>0</v>
      </c>
      <c r="D11" s="109">
        <f>SUM(D13:D17)</f>
        <v>0</v>
      </c>
      <c r="E11" s="109">
        <f>SUM(E13:E17)</f>
        <v>0</v>
      </c>
      <c r="F11" s="109">
        <f>SUM(F13:F17)</f>
        <v>0</v>
      </c>
    </row>
    <row r="12" spans="1:7" ht="24" x14ac:dyDescent="0.2">
      <c r="A12" s="34"/>
      <c r="B12" s="25" t="s">
        <v>3</v>
      </c>
      <c r="C12" s="61"/>
      <c r="D12" s="99"/>
      <c r="E12" s="99"/>
      <c r="F12" s="99"/>
    </row>
    <row r="13" spans="1:7" ht="24" x14ac:dyDescent="0.2">
      <c r="A13" s="40" t="s">
        <v>18</v>
      </c>
      <c r="B13" s="25"/>
      <c r="C13" s="61"/>
      <c r="D13" s="98"/>
      <c r="E13" s="98"/>
      <c r="F13" s="98"/>
    </row>
    <row r="14" spans="1:7" ht="24" x14ac:dyDescent="0.2">
      <c r="A14" s="28" t="s">
        <v>10</v>
      </c>
      <c r="B14" s="25"/>
      <c r="C14" s="61"/>
      <c r="D14" s="97"/>
      <c r="E14" s="97"/>
      <c r="F14" s="97"/>
    </row>
    <row r="15" spans="1:7" ht="24" x14ac:dyDescent="0.2">
      <c r="A15" s="27" t="s">
        <v>19</v>
      </c>
      <c r="B15" s="25" t="s">
        <v>2</v>
      </c>
      <c r="C15" s="61">
        <f>SUM(D15:F15)</f>
        <v>0</v>
      </c>
      <c r="D15" s="96"/>
      <c r="E15" s="96"/>
      <c r="F15" s="96"/>
      <c r="G15" s="92"/>
    </row>
    <row r="16" spans="1:7" ht="24" x14ac:dyDescent="0.2">
      <c r="A16" s="28" t="s">
        <v>11</v>
      </c>
      <c r="B16" s="25"/>
      <c r="C16" s="61"/>
      <c r="D16" s="97"/>
      <c r="E16" s="97"/>
      <c r="F16" s="97"/>
    </row>
    <row r="17" spans="1:7" ht="24" x14ac:dyDescent="0.2">
      <c r="A17" s="27" t="s">
        <v>27</v>
      </c>
      <c r="B17" s="25" t="s">
        <v>2</v>
      </c>
      <c r="C17" s="61">
        <f>SUM(D17:F17)</f>
        <v>0</v>
      </c>
      <c r="D17" s="96"/>
      <c r="E17" s="96"/>
      <c r="F17" s="96"/>
    </row>
    <row r="18" spans="1:7" s="110" customFormat="1" ht="24" x14ac:dyDescent="0.2">
      <c r="A18" s="111" t="s">
        <v>51</v>
      </c>
      <c r="B18" s="108" t="s">
        <v>2</v>
      </c>
      <c r="C18" s="109">
        <f>SUM(C22:C34)</f>
        <v>0</v>
      </c>
      <c r="D18" s="109">
        <f>SUM(D22:D34)</f>
        <v>0</v>
      </c>
      <c r="E18" s="109">
        <f>SUM(E22:E34)</f>
        <v>0</v>
      </c>
      <c r="F18" s="109">
        <f>SUM(F22:F34)</f>
        <v>0</v>
      </c>
    </row>
    <row r="19" spans="1:7" ht="24" x14ac:dyDescent="0.2">
      <c r="A19" s="34"/>
      <c r="B19" s="25" t="s">
        <v>3</v>
      </c>
      <c r="C19" s="61"/>
      <c r="D19" s="99"/>
      <c r="E19" s="99"/>
      <c r="F19" s="99"/>
    </row>
    <row r="20" spans="1:7" ht="24" x14ac:dyDescent="0.2">
      <c r="A20" s="40" t="s">
        <v>38</v>
      </c>
      <c r="B20" s="25"/>
      <c r="C20" s="61"/>
      <c r="D20" s="98"/>
      <c r="E20" s="98"/>
      <c r="F20" s="98"/>
    </row>
    <row r="21" spans="1:7" ht="24" x14ac:dyDescent="0.2">
      <c r="A21" s="28" t="s">
        <v>9</v>
      </c>
      <c r="B21" s="25"/>
      <c r="C21" s="61"/>
      <c r="D21" s="98"/>
      <c r="E21" s="98"/>
      <c r="F21" s="98"/>
    </row>
    <row r="22" spans="1:7" s="122" customFormat="1" ht="24" x14ac:dyDescent="0.2">
      <c r="A22" s="117" t="s">
        <v>21</v>
      </c>
      <c r="B22" s="118" t="s">
        <v>2</v>
      </c>
      <c r="C22" s="119">
        <f>SUM(D22:F22)</f>
        <v>0</v>
      </c>
      <c r="D22" s="120"/>
      <c r="E22" s="120"/>
      <c r="F22" s="120"/>
      <c r="G22" s="121" t="s">
        <v>59</v>
      </c>
    </row>
    <row r="23" spans="1:7" ht="24" x14ac:dyDescent="0.2">
      <c r="A23" s="28" t="s">
        <v>10</v>
      </c>
      <c r="B23" s="25"/>
      <c r="C23" s="61"/>
      <c r="D23" s="98"/>
      <c r="E23" s="98"/>
      <c r="F23" s="98"/>
    </row>
    <row r="24" spans="1:7" ht="24" x14ac:dyDescent="0.2">
      <c r="A24" s="103" t="s">
        <v>57</v>
      </c>
      <c r="B24" s="25" t="s">
        <v>2</v>
      </c>
      <c r="C24" s="61">
        <f>SUM(D24:F24)</f>
        <v>0</v>
      </c>
      <c r="D24" s="96"/>
      <c r="E24" s="96"/>
      <c r="F24" s="96"/>
      <c r="G24" s="92"/>
    </row>
    <row r="25" spans="1:7" ht="24" x14ac:dyDescent="0.2">
      <c r="A25" s="103" t="s">
        <v>58</v>
      </c>
      <c r="B25" s="25" t="s">
        <v>2</v>
      </c>
      <c r="C25" s="61">
        <f>SUM(D25:F25)</f>
        <v>0</v>
      </c>
      <c r="D25" s="96"/>
      <c r="E25" s="96"/>
      <c r="F25" s="96"/>
    </row>
    <row r="26" spans="1:7" ht="24" x14ac:dyDescent="0.2">
      <c r="A26" s="103" t="s">
        <v>75</v>
      </c>
      <c r="B26" s="25" t="s">
        <v>2</v>
      </c>
      <c r="C26" s="61">
        <f>SUM(D26:F26)</f>
        <v>0</v>
      </c>
      <c r="D26" s="96"/>
      <c r="E26" s="96"/>
      <c r="F26" s="96"/>
    </row>
    <row r="27" spans="1:7" ht="24" x14ac:dyDescent="0.2">
      <c r="A27" s="103" t="s">
        <v>76</v>
      </c>
      <c r="B27" s="25"/>
      <c r="C27" s="61"/>
      <c r="D27" s="96"/>
      <c r="E27" s="96"/>
      <c r="F27" s="96"/>
    </row>
    <row r="28" spans="1:7" ht="24" x14ac:dyDescent="0.2">
      <c r="A28" s="103" t="s">
        <v>77</v>
      </c>
      <c r="B28" s="25" t="s">
        <v>2</v>
      </c>
      <c r="C28" s="61">
        <f>SUM(D28:F28)</f>
        <v>0</v>
      </c>
      <c r="D28" s="96"/>
      <c r="E28" s="96"/>
      <c r="F28" s="96"/>
    </row>
    <row r="29" spans="1:7" ht="24" x14ac:dyDescent="0.2">
      <c r="A29" s="103" t="s">
        <v>78</v>
      </c>
      <c r="B29" s="25"/>
      <c r="C29" s="61"/>
      <c r="D29" s="96"/>
      <c r="E29" s="96"/>
      <c r="F29" s="96"/>
    </row>
    <row r="30" spans="1:7" ht="24" x14ac:dyDescent="0.2">
      <c r="A30" s="103" t="s">
        <v>79</v>
      </c>
      <c r="B30" s="25" t="s">
        <v>2</v>
      </c>
      <c r="C30" s="61"/>
      <c r="D30" s="96"/>
      <c r="E30" s="96"/>
      <c r="F30" s="96"/>
    </row>
    <row r="31" spans="1:7" ht="24" x14ac:dyDescent="0.2">
      <c r="A31" s="27" t="s">
        <v>80</v>
      </c>
      <c r="B31" s="25"/>
      <c r="C31" s="61"/>
      <c r="D31" s="96"/>
      <c r="E31" s="96"/>
      <c r="F31" s="96"/>
    </row>
    <row r="32" spans="1:7" ht="24" x14ac:dyDescent="0.2">
      <c r="A32" s="28" t="s">
        <v>11</v>
      </c>
      <c r="B32" s="25"/>
      <c r="C32" s="61"/>
      <c r="D32" s="97"/>
      <c r="E32" s="97"/>
      <c r="F32" s="97"/>
    </row>
    <row r="33" spans="1:7" ht="24" x14ac:dyDescent="0.2">
      <c r="A33" s="27" t="s">
        <v>26</v>
      </c>
      <c r="B33" s="25" t="s">
        <v>2</v>
      </c>
      <c r="C33" s="61">
        <f>SUM(D33:F33)</f>
        <v>0</v>
      </c>
      <c r="D33" s="96"/>
      <c r="E33" s="96"/>
      <c r="F33" s="96"/>
    </row>
    <row r="34" spans="1:7" ht="24" x14ac:dyDescent="0.2">
      <c r="A34" s="27" t="s">
        <v>30</v>
      </c>
      <c r="B34" s="25" t="s">
        <v>2</v>
      </c>
      <c r="C34" s="61">
        <f>SUM(D34:F34)</f>
        <v>0</v>
      </c>
      <c r="D34" s="96"/>
      <c r="E34" s="96"/>
      <c r="F34" s="96"/>
      <c r="G34" s="92"/>
    </row>
    <row r="35" spans="1:7" ht="24" x14ac:dyDescent="0.2">
      <c r="A35" s="27" t="s">
        <v>81</v>
      </c>
      <c r="B35" s="25" t="s">
        <v>2</v>
      </c>
      <c r="C35" s="61">
        <f t="shared" ref="C35:C36" si="0">SUM(D35:F35)</f>
        <v>0</v>
      </c>
      <c r="D35" s="96"/>
      <c r="E35" s="96"/>
      <c r="F35" s="96"/>
      <c r="G35" s="92"/>
    </row>
    <row r="36" spans="1:7" ht="24" x14ac:dyDescent="0.2">
      <c r="A36" s="27" t="s">
        <v>82</v>
      </c>
      <c r="B36" s="25" t="s">
        <v>2</v>
      </c>
      <c r="C36" s="61">
        <f t="shared" si="0"/>
        <v>0</v>
      </c>
      <c r="D36" s="96"/>
      <c r="E36" s="96"/>
      <c r="F36" s="96"/>
      <c r="G36" s="92"/>
    </row>
    <row r="37" spans="1:7" ht="24" x14ac:dyDescent="0.2">
      <c r="A37" s="27"/>
      <c r="B37" s="25"/>
      <c r="C37" s="61"/>
      <c r="D37" s="96"/>
      <c r="E37" s="96"/>
      <c r="F37" s="96"/>
      <c r="G37" s="92"/>
    </row>
    <row r="38" spans="1:7" s="110" customFormat="1" ht="24" x14ac:dyDescent="0.2">
      <c r="A38" s="111" t="s">
        <v>42</v>
      </c>
      <c r="B38" s="108" t="s">
        <v>2</v>
      </c>
      <c r="C38" s="112">
        <f>SUM(C40:C42)</f>
        <v>0</v>
      </c>
      <c r="D38" s="112">
        <f>SUM(D40:D42)</f>
        <v>0</v>
      </c>
      <c r="E38" s="112">
        <f>SUM(E40:E42)</f>
        <v>0</v>
      </c>
      <c r="F38" s="112">
        <f>SUM(F40:F42)</f>
        <v>0</v>
      </c>
    </row>
    <row r="39" spans="1:7" ht="24" x14ac:dyDescent="0.2">
      <c r="A39" s="103" t="s">
        <v>83</v>
      </c>
      <c r="B39" s="25" t="s">
        <v>2</v>
      </c>
      <c r="C39" s="112"/>
      <c r="D39" s="93"/>
      <c r="E39" s="105"/>
      <c r="F39" s="96"/>
    </row>
    <row r="40" spans="1:7" ht="24" x14ac:dyDescent="0.2">
      <c r="A40" s="103" t="s">
        <v>84</v>
      </c>
      <c r="B40" s="25" t="s">
        <v>2</v>
      </c>
      <c r="C40" s="112"/>
      <c r="D40" s="93"/>
      <c r="E40" s="93"/>
      <c r="F40" s="106"/>
    </row>
    <row r="41" spans="1:7" ht="24" x14ac:dyDescent="0.2">
      <c r="A41" s="103" t="s">
        <v>85</v>
      </c>
      <c r="B41" s="25" t="s">
        <v>2</v>
      </c>
      <c r="C41" s="112"/>
      <c r="D41" s="93"/>
      <c r="E41" s="93"/>
      <c r="F41" s="106"/>
    </row>
    <row r="42" spans="1:7" ht="24" x14ac:dyDescent="0.2">
      <c r="A42" s="103" t="s">
        <v>86</v>
      </c>
      <c r="B42" s="25" t="s">
        <v>2</v>
      </c>
      <c r="C42" s="112"/>
      <c r="D42" s="93"/>
      <c r="E42" s="93"/>
      <c r="F42" s="106"/>
    </row>
    <row r="43" spans="1:7" ht="24" x14ac:dyDescent="0.2">
      <c r="A43" s="27" t="s">
        <v>87</v>
      </c>
      <c r="B43" s="95"/>
      <c r="C43" s="94"/>
      <c r="D43" s="93"/>
      <c r="E43" s="93"/>
      <c r="F43" s="106"/>
      <c r="G43" s="92"/>
    </row>
    <row r="44" spans="1:7" ht="24" x14ac:dyDescent="0.2">
      <c r="A44" s="44" t="s">
        <v>47</v>
      </c>
      <c r="B44" s="31" t="s">
        <v>2</v>
      </c>
      <c r="C44" s="59">
        <f>C7</f>
        <v>0</v>
      </c>
      <c r="D44" s="91">
        <f>D7</f>
        <v>0</v>
      </c>
      <c r="E44" s="91">
        <f>E7</f>
        <v>0</v>
      </c>
      <c r="F44" s="91">
        <f>F7</f>
        <v>0</v>
      </c>
    </row>
    <row r="45" spans="1:7" ht="24" x14ac:dyDescent="0.2">
      <c r="A45" s="44"/>
      <c r="B45" s="31" t="s">
        <v>3</v>
      </c>
      <c r="C45" s="59"/>
      <c r="D45" s="90"/>
      <c r="E45" s="90"/>
      <c r="F45" s="90"/>
    </row>
    <row r="46" spans="1:7" ht="24" x14ac:dyDescent="0.2">
      <c r="A46" s="704" t="s">
        <v>6</v>
      </c>
      <c r="B46" s="35" t="s">
        <v>2</v>
      </c>
      <c r="C46" s="62">
        <f>C44</f>
        <v>0</v>
      </c>
      <c r="D46" s="89">
        <f>D44</f>
        <v>0</v>
      </c>
      <c r="E46" s="89">
        <f>E44</f>
        <v>0</v>
      </c>
      <c r="F46" s="89">
        <f>F44</f>
        <v>0</v>
      </c>
    </row>
    <row r="47" spans="1:7" ht="24" x14ac:dyDescent="0.2">
      <c r="A47" s="705"/>
      <c r="B47" s="36" t="s">
        <v>3</v>
      </c>
      <c r="C47" s="63"/>
      <c r="D47" s="88"/>
      <c r="E47" s="88"/>
      <c r="F47" s="88"/>
    </row>
    <row r="48" spans="1:7" ht="19.5" customHeight="1" x14ac:dyDescent="0.2">
      <c r="A48" s="11"/>
      <c r="B48" s="11"/>
      <c r="C48" s="87"/>
      <c r="D48" s="86"/>
      <c r="E48" s="86"/>
      <c r="F48" s="86"/>
    </row>
    <row r="49" spans="1:6" ht="28.5" customHeight="1" x14ac:dyDescent="0.2">
      <c r="A49" s="3" t="s">
        <v>7</v>
      </c>
      <c r="B49" s="11"/>
      <c r="C49" s="87">
        <f>C11+C18+C38-C7</f>
        <v>0</v>
      </c>
      <c r="D49" s="85"/>
      <c r="E49" s="85"/>
      <c r="F49" s="85"/>
    </row>
    <row r="53" spans="1:6" ht="24" x14ac:dyDescent="0.2">
      <c r="A53" s="702" t="s">
        <v>17</v>
      </c>
      <c r="B53" s="702"/>
      <c r="C53" s="702"/>
      <c r="D53" s="702"/>
      <c r="E53" s="702"/>
      <c r="F53" s="702"/>
    </row>
    <row r="54" spans="1:6" ht="24" x14ac:dyDescent="0.2">
      <c r="A54" s="5" t="s">
        <v>55</v>
      </c>
      <c r="B54" s="5"/>
      <c r="C54" s="37"/>
      <c r="D54" s="102"/>
      <c r="E54" s="102"/>
      <c r="F54" s="102"/>
    </row>
    <row r="55" spans="1:6" s="104" customFormat="1" ht="24" x14ac:dyDescent="0.2">
      <c r="A55" s="114" t="s">
        <v>74</v>
      </c>
      <c r="B55" s="114"/>
      <c r="C55" s="115"/>
      <c r="E55" s="116"/>
      <c r="F55" s="116" t="s">
        <v>28</v>
      </c>
    </row>
    <row r="56" spans="1:6" ht="11.25" customHeight="1" x14ac:dyDescent="0.2">
      <c r="A56" s="3"/>
      <c r="B56" s="3"/>
      <c r="C56" s="38"/>
      <c r="D56" s="101"/>
      <c r="E56" s="101"/>
      <c r="F56" s="101"/>
    </row>
    <row r="57" spans="1:6" ht="24" x14ac:dyDescent="0.2">
      <c r="A57" s="706" t="s">
        <v>13</v>
      </c>
      <c r="B57" s="22" t="s">
        <v>5</v>
      </c>
      <c r="C57" s="712" t="s">
        <v>1</v>
      </c>
      <c r="D57" s="714" t="s">
        <v>43</v>
      </c>
      <c r="E57" s="714" t="s">
        <v>44</v>
      </c>
      <c r="F57" s="714" t="s">
        <v>45</v>
      </c>
    </row>
    <row r="58" spans="1:6" ht="24" x14ac:dyDescent="0.2">
      <c r="A58" s="707"/>
      <c r="B58" s="23" t="s">
        <v>3</v>
      </c>
      <c r="C58" s="713"/>
      <c r="D58" s="715"/>
      <c r="E58" s="715"/>
      <c r="F58" s="715"/>
    </row>
    <row r="59" spans="1:6" ht="24" x14ac:dyDescent="0.2">
      <c r="A59" s="32" t="s">
        <v>39</v>
      </c>
      <c r="B59" s="31" t="s">
        <v>2</v>
      </c>
      <c r="C59" s="59">
        <f>SUM(D59:F59)</f>
        <v>0</v>
      </c>
      <c r="D59" s="90">
        <f>D61</f>
        <v>0</v>
      </c>
      <c r="E59" s="90">
        <f>E61</f>
        <v>0</v>
      </c>
      <c r="F59" s="90">
        <f>F61</f>
        <v>0</v>
      </c>
    </row>
    <row r="60" spans="1:6" ht="24" x14ac:dyDescent="0.2">
      <c r="A60" s="32"/>
      <c r="B60" s="31" t="s">
        <v>3</v>
      </c>
      <c r="C60" s="59"/>
      <c r="D60" s="90"/>
      <c r="E60" s="90"/>
      <c r="F60" s="90"/>
    </row>
    <row r="61" spans="1:6" ht="24" x14ac:dyDescent="0.2">
      <c r="A61" s="26" t="s">
        <v>88</v>
      </c>
      <c r="B61" s="8" t="s">
        <v>2</v>
      </c>
      <c r="C61" s="60">
        <f>SUM(D61:F61)</f>
        <v>0</v>
      </c>
      <c r="D61" s="100">
        <f>D63+D70+D90</f>
        <v>0</v>
      </c>
      <c r="E61" s="100">
        <f>E63+E70+E90</f>
        <v>0</v>
      </c>
      <c r="F61" s="100">
        <f>F63+F70+F90</f>
        <v>0</v>
      </c>
    </row>
    <row r="62" spans="1:6" ht="24" x14ac:dyDescent="0.2">
      <c r="A62" s="41"/>
      <c r="B62" s="8" t="s">
        <v>3</v>
      </c>
      <c r="C62" s="60"/>
      <c r="D62" s="100"/>
      <c r="E62" s="100"/>
      <c r="F62" s="100"/>
    </row>
    <row r="63" spans="1:6" s="110" customFormat="1" ht="24" x14ac:dyDescent="0.2">
      <c r="A63" s="107" t="s">
        <v>41</v>
      </c>
      <c r="B63" s="108" t="s">
        <v>2</v>
      </c>
      <c r="C63" s="109">
        <f>SUM(C65:C69)</f>
        <v>0</v>
      </c>
      <c r="D63" s="109">
        <f>SUM(D65:D69)</f>
        <v>0</v>
      </c>
      <c r="E63" s="109">
        <f>SUM(E65:E69)</f>
        <v>0</v>
      </c>
      <c r="F63" s="109">
        <f>SUM(F65:F69)</f>
        <v>0</v>
      </c>
    </row>
    <row r="64" spans="1:6" ht="24" x14ac:dyDescent="0.2">
      <c r="A64" s="34"/>
      <c r="B64" s="25" t="s">
        <v>3</v>
      </c>
      <c r="C64" s="61"/>
      <c r="D64" s="99"/>
      <c r="E64" s="99"/>
      <c r="F64" s="99"/>
    </row>
    <row r="65" spans="1:7" ht="24" x14ac:dyDescent="0.2">
      <c r="A65" s="40" t="s">
        <v>18</v>
      </c>
      <c r="B65" s="25"/>
      <c r="C65" s="61"/>
      <c r="D65" s="98"/>
      <c r="E65" s="98"/>
      <c r="F65" s="98"/>
    </row>
    <row r="66" spans="1:7" ht="24" x14ac:dyDescent="0.2">
      <c r="A66" s="28" t="s">
        <v>10</v>
      </c>
      <c r="B66" s="25"/>
      <c r="C66" s="61"/>
      <c r="D66" s="97"/>
      <c r="E66" s="97"/>
      <c r="F66" s="97"/>
    </row>
    <row r="67" spans="1:7" ht="24" x14ac:dyDescent="0.2">
      <c r="A67" s="27" t="s">
        <v>19</v>
      </c>
      <c r="B67" s="25" t="s">
        <v>2</v>
      </c>
      <c r="C67" s="61">
        <f>SUM(D67:F67)</f>
        <v>0</v>
      </c>
      <c r="D67" s="96"/>
      <c r="E67" s="96"/>
      <c r="F67" s="96"/>
      <c r="G67" s="92"/>
    </row>
    <row r="68" spans="1:7" ht="24" x14ac:dyDescent="0.2">
      <c r="A68" s="28" t="s">
        <v>11</v>
      </c>
      <c r="B68" s="25"/>
      <c r="C68" s="61"/>
      <c r="D68" s="97"/>
      <c r="E68" s="97"/>
      <c r="F68" s="97"/>
    </row>
    <row r="69" spans="1:7" ht="24" x14ac:dyDescent="0.2">
      <c r="A69" s="27" t="s">
        <v>27</v>
      </c>
      <c r="B69" s="25" t="s">
        <v>2</v>
      </c>
      <c r="C69" s="61">
        <f>SUM(D69:F69)</f>
        <v>0</v>
      </c>
      <c r="D69" s="96"/>
      <c r="E69" s="96"/>
      <c r="F69" s="96"/>
    </row>
    <row r="70" spans="1:7" s="110" customFormat="1" ht="24" x14ac:dyDescent="0.2">
      <c r="A70" s="111" t="s">
        <v>51</v>
      </c>
      <c r="B70" s="108" t="s">
        <v>2</v>
      </c>
      <c r="C70" s="109">
        <f>SUM(C74:C86)</f>
        <v>0</v>
      </c>
      <c r="D70" s="109">
        <f>SUM(D74:D86)</f>
        <v>0</v>
      </c>
      <c r="E70" s="109">
        <f>SUM(E74:E86)</f>
        <v>0</v>
      </c>
      <c r="F70" s="109">
        <f>SUM(F74:F86)</f>
        <v>0</v>
      </c>
    </row>
    <row r="71" spans="1:7" ht="24" x14ac:dyDescent="0.2">
      <c r="A71" s="34"/>
      <c r="B71" s="25" t="s">
        <v>3</v>
      </c>
      <c r="C71" s="61"/>
      <c r="D71" s="99"/>
      <c r="E71" s="99"/>
      <c r="F71" s="99"/>
    </row>
    <row r="72" spans="1:7" ht="24" x14ac:dyDescent="0.2">
      <c r="A72" s="40" t="s">
        <v>38</v>
      </c>
      <c r="B72" s="25"/>
      <c r="C72" s="61"/>
      <c r="D72" s="98"/>
      <c r="E72" s="98"/>
      <c r="F72" s="98"/>
    </row>
    <row r="73" spans="1:7" ht="24" x14ac:dyDescent="0.2">
      <c r="A73" s="28" t="s">
        <v>9</v>
      </c>
      <c r="B73" s="25"/>
      <c r="C73" s="61"/>
      <c r="D73" s="98"/>
      <c r="E73" s="98"/>
      <c r="F73" s="98"/>
    </row>
    <row r="74" spans="1:7" s="122" customFormat="1" ht="24" x14ac:dyDescent="0.2">
      <c r="A74" s="117" t="s">
        <v>21</v>
      </c>
      <c r="B74" s="118" t="s">
        <v>2</v>
      </c>
      <c r="C74" s="119">
        <f>SUM(D74:F74)</f>
        <v>0</v>
      </c>
      <c r="D74" s="120"/>
      <c r="E74" s="120"/>
      <c r="F74" s="120"/>
      <c r="G74" s="121" t="s">
        <v>59</v>
      </c>
    </row>
    <row r="75" spans="1:7" ht="24" x14ac:dyDescent="0.2">
      <c r="A75" s="28" t="s">
        <v>10</v>
      </c>
      <c r="B75" s="25"/>
      <c r="C75" s="61"/>
      <c r="D75" s="98"/>
      <c r="E75" s="98"/>
      <c r="F75" s="98"/>
    </row>
    <row r="76" spans="1:7" ht="24" x14ac:dyDescent="0.2">
      <c r="A76" s="103" t="s">
        <v>57</v>
      </c>
      <c r="B76" s="25" t="s">
        <v>2</v>
      </c>
      <c r="C76" s="61">
        <f>SUM(D76:F76)</f>
        <v>0</v>
      </c>
      <c r="D76" s="96"/>
      <c r="E76" s="96"/>
      <c r="F76" s="96"/>
      <c r="G76" s="92"/>
    </row>
    <row r="77" spans="1:7" ht="24" x14ac:dyDescent="0.2">
      <c r="A77" s="103" t="s">
        <v>58</v>
      </c>
      <c r="B77" s="25" t="s">
        <v>2</v>
      </c>
      <c r="C77" s="61">
        <f>SUM(D77:F77)</f>
        <v>0</v>
      </c>
      <c r="D77" s="96"/>
      <c r="E77" s="96"/>
      <c r="F77" s="96"/>
    </row>
    <row r="78" spans="1:7" ht="24" x14ac:dyDescent="0.2">
      <c r="A78" s="103" t="s">
        <v>75</v>
      </c>
      <c r="B78" s="25" t="s">
        <v>2</v>
      </c>
      <c r="C78" s="61">
        <f>SUM(D78:F78)</f>
        <v>0</v>
      </c>
      <c r="D78" s="96"/>
      <c r="E78" s="96"/>
      <c r="F78" s="96"/>
    </row>
    <row r="79" spans="1:7" ht="24" x14ac:dyDescent="0.2">
      <c r="A79" s="103" t="s">
        <v>76</v>
      </c>
      <c r="B79" s="25"/>
      <c r="C79" s="61"/>
      <c r="D79" s="96"/>
      <c r="E79" s="96"/>
      <c r="F79" s="96"/>
    </row>
    <row r="80" spans="1:7" ht="24" x14ac:dyDescent="0.2">
      <c r="A80" s="103" t="s">
        <v>77</v>
      </c>
      <c r="B80" s="25" t="s">
        <v>2</v>
      </c>
      <c r="C80" s="61">
        <f>SUM(D80:F80)</f>
        <v>0</v>
      </c>
      <c r="D80" s="96"/>
      <c r="E80" s="96"/>
      <c r="F80" s="96"/>
    </row>
    <row r="81" spans="1:7" ht="24" x14ac:dyDescent="0.2">
      <c r="A81" s="103" t="s">
        <v>78</v>
      </c>
      <c r="B81" s="25"/>
      <c r="C81" s="61"/>
      <c r="D81" s="96"/>
      <c r="E81" s="96"/>
      <c r="F81" s="96"/>
    </row>
    <row r="82" spans="1:7" ht="24" x14ac:dyDescent="0.2">
      <c r="A82" s="103" t="s">
        <v>79</v>
      </c>
      <c r="B82" s="25" t="s">
        <v>2</v>
      </c>
      <c r="C82" s="61"/>
      <c r="D82" s="96"/>
      <c r="E82" s="96"/>
      <c r="F82" s="96"/>
    </row>
    <row r="83" spans="1:7" ht="24" x14ac:dyDescent="0.2">
      <c r="A83" s="27" t="s">
        <v>80</v>
      </c>
      <c r="B83" s="25"/>
      <c r="C83" s="61"/>
      <c r="D83" s="96"/>
      <c r="E83" s="96"/>
      <c r="F83" s="96"/>
    </row>
    <row r="84" spans="1:7" ht="24" x14ac:dyDescent="0.2">
      <c r="A84" s="28" t="s">
        <v>11</v>
      </c>
      <c r="B84" s="25"/>
      <c r="C84" s="61"/>
      <c r="D84" s="97"/>
      <c r="E84" s="97"/>
      <c r="F84" s="97"/>
    </row>
    <row r="85" spans="1:7" ht="24" x14ac:dyDescent="0.2">
      <c r="A85" s="27" t="s">
        <v>26</v>
      </c>
      <c r="B85" s="25" t="s">
        <v>2</v>
      </c>
      <c r="C85" s="61">
        <f>SUM(D85:F85)</f>
        <v>0</v>
      </c>
      <c r="D85" s="96"/>
      <c r="E85" s="96"/>
      <c r="F85" s="96"/>
    </row>
    <row r="86" spans="1:7" ht="24" x14ac:dyDescent="0.2">
      <c r="A86" s="27" t="s">
        <v>30</v>
      </c>
      <c r="B86" s="25" t="s">
        <v>2</v>
      </c>
      <c r="C86" s="61">
        <f>SUM(D86:F86)</f>
        <v>0</v>
      </c>
      <c r="D86" s="96"/>
      <c r="E86" s="96"/>
      <c r="F86" s="96"/>
      <c r="G86" s="92"/>
    </row>
    <row r="87" spans="1:7" ht="24" x14ac:dyDescent="0.2">
      <c r="A87" s="27" t="s">
        <v>81</v>
      </c>
      <c r="B87" s="25" t="s">
        <v>2</v>
      </c>
      <c r="C87" s="61">
        <f t="shared" ref="C87:C88" si="1">SUM(D87:F87)</f>
        <v>0</v>
      </c>
      <c r="D87" s="96"/>
      <c r="E87" s="96"/>
      <c r="F87" s="96"/>
      <c r="G87" s="92"/>
    </row>
    <row r="88" spans="1:7" ht="24" x14ac:dyDescent="0.2">
      <c r="A88" s="27" t="s">
        <v>82</v>
      </c>
      <c r="B88" s="25" t="s">
        <v>2</v>
      </c>
      <c r="C88" s="61">
        <f t="shared" si="1"/>
        <v>0</v>
      </c>
      <c r="D88" s="96"/>
      <c r="E88" s="96"/>
      <c r="F88" s="96"/>
      <c r="G88" s="92"/>
    </row>
    <row r="89" spans="1:7" ht="24" x14ac:dyDescent="0.2">
      <c r="A89" s="27"/>
      <c r="B89" s="25"/>
      <c r="C89" s="61"/>
      <c r="D89" s="96"/>
      <c r="E89" s="96"/>
      <c r="F89" s="96"/>
      <c r="G89" s="92"/>
    </row>
    <row r="90" spans="1:7" s="110" customFormat="1" ht="24" x14ac:dyDescent="0.2">
      <c r="A90" s="111" t="s">
        <v>42</v>
      </c>
      <c r="B90" s="108" t="s">
        <v>2</v>
      </c>
      <c r="C90" s="112">
        <f>SUM(C92:C94)</f>
        <v>0</v>
      </c>
      <c r="D90" s="112">
        <f>SUM(D92:D94)</f>
        <v>0</v>
      </c>
      <c r="E90" s="112">
        <f>SUM(E92:E94)</f>
        <v>0</v>
      </c>
      <c r="F90" s="112">
        <f>SUM(F92:F94)</f>
        <v>0</v>
      </c>
    </row>
    <row r="91" spans="1:7" ht="24" x14ac:dyDescent="0.2">
      <c r="A91" s="103" t="s">
        <v>83</v>
      </c>
      <c r="B91" s="25" t="s">
        <v>2</v>
      </c>
      <c r="C91" s="112"/>
      <c r="D91" s="93"/>
      <c r="E91" s="105"/>
      <c r="F91" s="96"/>
    </row>
    <row r="92" spans="1:7" ht="24" x14ac:dyDescent="0.2">
      <c r="A92" s="103" t="s">
        <v>84</v>
      </c>
      <c r="B92" s="25" t="s">
        <v>2</v>
      </c>
      <c r="C92" s="112"/>
      <c r="D92" s="93"/>
      <c r="E92" s="93"/>
      <c r="F92" s="106"/>
    </row>
    <row r="93" spans="1:7" ht="24" x14ac:dyDescent="0.2">
      <c r="A93" s="103" t="s">
        <v>85</v>
      </c>
      <c r="B93" s="25" t="s">
        <v>2</v>
      </c>
      <c r="C93" s="112"/>
      <c r="D93" s="93"/>
      <c r="E93" s="93"/>
      <c r="F93" s="106"/>
    </row>
    <row r="94" spans="1:7" ht="24" x14ac:dyDescent="0.2">
      <c r="A94" s="103" t="s">
        <v>86</v>
      </c>
      <c r="B94" s="25" t="s">
        <v>2</v>
      </c>
      <c r="C94" s="112"/>
      <c r="D94" s="93"/>
      <c r="E94" s="93"/>
      <c r="F94" s="106"/>
    </row>
    <row r="95" spans="1:7" ht="24" x14ac:dyDescent="0.2">
      <c r="A95" s="27" t="s">
        <v>87</v>
      </c>
      <c r="B95" s="95"/>
      <c r="C95" s="94"/>
      <c r="D95" s="93"/>
      <c r="E95" s="93"/>
      <c r="F95" s="106"/>
      <c r="G95" s="92"/>
    </row>
    <row r="96" spans="1:7" ht="24" x14ac:dyDescent="0.2">
      <c r="A96" s="44" t="s">
        <v>47</v>
      </c>
      <c r="B96" s="31" t="s">
        <v>2</v>
      </c>
      <c r="C96" s="59">
        <f>C59</f>
        <v>0</v>
      </c>
      <c r="D96" s="91">
        <f>D59</f>
        <v>0</v>
      </c>
      <c r="E96" s="91">
        <f>E59</f>
        <v>0</v>
      </c>
      <c r="F96" s="91">
        <f>F59</f>
        <v>0</v>
      </c>
    </row>
    <row r="97" spans="1:6" ht="24" x14ac:dyDescent="0.2">
      <c r="A97" s="44"/>
      <c r="B97" s="31" t="s">
        <v>3</v>
      </c>
      <c r="C97" s="59"/>
      <c r="D97" s="90"/>
      <c r="E97" s="90"/>
      <c r="F97" s="90"/>
    </row>
    <row r="98" spans="1:6" ht="24" x14ac:dyDescent="0.2">
      <c r="A98" s="704" t="s">
        <v>6</v>
      </c>
      <c r="B98" s="35" t="s">
        <v>2</v>
      </c>
      <c r="C98" s="62">
        <f>C96</f>
        <v>0</v>
      </c>
      <c r="D98" s="89">
        <f>D96</f>
        <v>0</v>
      </c>
      <c r="E98" s="89">
        <f>E96</f>
        <v>0</v>
      </c>
      <c r="F98" s="89">
        <f>F96</f>
        <v>0</v>
      </c>
    </row>
    <row r="99" spans="1:6" ht="24" x14ac:dyDescent="0.2">
      <c r="A99" s="705"/>
      <c r="B99" s="36" t="s">
        <v>3</v>
      </c>
      <c r="C99" s="63"/>
      <c r="D99" s="88"/>
      <c r="E99" s="88"/>
      <c r="F99" s="88"/>
    </row>
    <row r="100" spans="1:6" ht="19.5" customHeight="1" x14ac:dyDescent="0.2">
      <c r="A100" s="11"/>
      <c r="B100" s="11"/>
      <c r="C100" s="87"/>
      <c r="D100" s="86"/>
      <c r="E100" s="86"/>
      <c r="F100" s="86"/>
    </row>
    <row r="101" spans="1:6" ht="28.5" customHeight="1" x14ac:dyDescent="0.2">
      <c r="A101" s="3" t="s">
        <v>7</v>
      </c>
      <c r="B101" s="11"/>
      <c r="C101" s="87">
        <f>C63+C70+C90-C59</f>
        <v>0</v>
      </c>
      <c r="D101" s="85"/>
      <c r="E101" s="85"/>
      <c r="F101" s="85"/>
    </row>
    <row r="103" spans="1:6" ht="24" x14ac:dyDescent="0.2">
      <c r="A103" s="702" t="s">
        <v>17</v>
      </c>
      <c r="B103" s="702"/>
      <c r="C103" s="702"/>
      <c r="D103" s="702"/>
      <c r="E103" s="702"/>
      <c r="F103" s="702"/>
    </row>
    <row r="104" spans="1:6" ht="24" x14ac:dyDescent="0.2">
      <c r="A104" s="5" t="s">
        <v>55</v>
      </c>
      <c r="B104" s="5"/>
      <c r="C104" s="37"/>
      <c r="D104" s="102"/>
      <c r="E104" s="102"/>
      <c r="F104" s="102"/>
    </row>
    <row r="105" spans="1:6" s="104" customFormat="1" ht="24" x14ac:dyDescent="0.2">
      <c r="A105" s="114" t="s">
        <v>74</v>
      </c>
      <c r="B105" s="114"/>
      <c r="C105" s="115"/>
      <c r="E105" s="116"/>
      <c r="F105" s="116" t="s">
        <v>28</v>
      </c>
    </row>
    <row r="106" spans="1:6" ht="11.25" customHeight="1" x14ac:dyDescent="0.2">
      <c r="A106" s="3"/>
      <c r="B106" s="3"/>
      <c r="C106" s="38"/>
      <c r="D106" s="101"/>
      <c r="E106" s="101"/>
      <c r="F106" s="101"/>
    </row>
    <row r="107" spans="1:6" ht="24" x14ac:dyDescent="0.2">
      <c r="A107" s="706" t="s">
        <v>13</v>
      </c>
      <c r="B107" s="22" t="s">
        <v>5</v>
      </c>
      <c r="C107" s="712" t="s">
        <v>1</v>
      </c>
      <c r="D107" s="714" t="s">
        <v>43</v>
      </c>
      <c r="E107" s="714" t="s">
        <v>44</v>
      </c>
      <c r="F107" s="714" t="s">
        <v>45</v>
      </c>
    </row>
    <row r="108" spans="1:6" ht="24" x14ac:dyDescent="0.2">
      <c r="A108" s="707"/>
      <c r="B108" s="23" t="s">
        <v>3</v>
      </c>
      <c r="C108" s="713"/>
      <c r="D108" s="715"/>
      <c r="E108" s="715"/>
      <c r="F108" s="715"/>
    </row>
    <row r="109" spans="1:6" ht="24" x14ac:dyDescent="0.2">
      <c r="A109" s="32" t="s">
        <v>39</v>
      </c>
      <c r="B109" s="31" t="s">
        <v>2</v>
      </c>
      <c r="C109" s="59">
        <f>SUM(D109:F109)</f>
        <v>0</v>
      </c>
      <c r="D109" s="90">
        <f>D111</f>
        <v>0</v>
      </c>
      <c r="E109" s="90">
        <f>E111</f>
        <v>0</v>
      </c>
      <c r="F109" s="90">
        <f>F111</f>
        <v>0</v>
      </c>
    </row>
    <row r="110" spans="1:6" ht="24" x14ac:dyDescent="0.2">
      <c r="A110" s="32"/>
      <c r="B110" s="31" t="s">
        <v>3</v>
      </c>
      <c r="C110" s="59"/>
      <c r="D110" s="90"/>
      <c r="E110" s="90"/>
      <c r="F110" s="90"/>
    </row>
    <row r="111" spans="1:6" ht="24" x14ac:dyDescent="0.2">
      <c r="A111" s="26" t="s">
        <v>90</v>
      </c>
      <c r="B111" s="8" t="s">
        <v>2</v>
      </c>
      <c r="C111" s="60">
        <f>SUM(D111:F111)</f>
        <v>0</v>
      </c>
      <c r="D111" s="100">
        <f>D113+D120+D140</f>
        <v>0</v>
      </c>
      <c r="E111" s="100">
        <f>E113+E120+E140</f>
        <v>0</v>
      </c>
      <c r="F111" s="100">
        <f>F113+F120+F140</f>
        <v>0</v>
      </c>
    </row>
    <row r="112" spans="1:6" ht="24" x14ac:dyDescent="0.2">
      <c r="A112" s="41"/>
      <c r="B112" s="8" t="s">
        <v>3</v>
      </c>
      <c r="C112" s="60"/>
      <c r="D112" s="100"/>
      <c r="E112" s="100"/>
      <c r="F112" s="100"/>
    </row>
    <row r="113" spans="1:7" s="110" customFormat="1" ht="24" x14ac:dyDescent="0.2">
      <c r="A113" s="107" t="s">
        <v>41</v>
      </c>
      <c r="B113" s="108" t="s">
        <v>2</v>
      </c>
      <c r="C113" s="109">
        <f>SUM(C115:C119)</f>
        <v>0</v>
      </c>
      <c r="D113" s="109">
        <f>SUM(D115:D119)</f>
        <v>0</v>
      </c>
      <c r="E113" s="109">
        <f>SUM(E115:E119)</f>
        <v>0</v>
      </c>
      <c r="F113" s="109">
        <f>SUM(F115:F119)</f>
        <v>0</v>
      </c>
    </row>
    <row r="114" spans="1:7" ht="24" x14ac:dyDescent="0.2">
      <c r="A114" s="34"/>
      <c r="B114" s="25" t="s">
        <v>3</v>
      </c>
      <c r="C114" s="61"/>
      <c r="D114" s="99"/>
      <c r="E114" s="99"/>
      <c r="F114" s="99"/>
    </row>
    <row r="115" spans="1:7" ht="24" x14ac:dyDescent="0.2">
      <c r="A115" s="40" t="s">
        <v>18</v>
      </c>
      <c r="B115" s="25"/>
      <c r="C115" s="61"/>
      <c r="D115" s="98"/>
      <c r="E115" s="98"/>
      <c r="F115" s="98"/>
    </row>
    <row r="116" spans="1:7" ht="24" x14ac:dyDescent="0.2">
      <c r="A116" s="28" t="s">
        <v>10</v>
      </c>
      <c r="B116" s="25"/>
      <c r="C116" s="61"/>
      <c r="D116" s="97"/>
      <c r="E116" s="97"/>
      <c r="F116" s="97"/>
    </row>
    <row r="117" spans="1:7" ht="24" x14ac:dyDescent="0.2">
      <c r="A117" s="27" t="s">
        <v>19</v>
      </c>
      <c r="B117" s="25" t="s">
        <v>2</v>
      </c>
      <c r="C117" s="61">
        <f>SUM(D117:F117)</f>
        <v>0</v>
      </c>
      <c r="D117" s="96"/>
      <c r="E117" s="96"/>
      <c r="F117" s="96"/>
      <c r="G117" s="92"/>
    </row>
    <row r="118" spans="1:7" ht="24" x14ac:dyDescent="0.2">
      <c r="A118" s="28" t="s">
        <v>11</v>
      </c>
      <c r="B118" s="25"/>
      <c r="C118" s="61"/>
      <c r="D118" s="97"/>
      <c r="E118" s="97"/>
      <c r="F118" s="97"/>
    </row>
    <row r="119" spans="1:7" ht="24" x14ac:dyDescent="0.2">
      <c r="A119" s="27" t="s">
        <v>27</v>
      </c>
      <c r="B119" s="25" t="s">
        <v>2</v>
      </c>
      <c r="C119" s="61">
        <f>SUM(D119:F119)</f>
        <v>0</v>
      </c>
      <c r="D119" s="96"/>
      <c r="E119" s="96"/>
      <c r="F119" s="96"/>
    </row>
    <row r="120" spans="1:7" s="110" customFormat="1" ht="24" x14ac:dyDescent="0.2">
      <c r="A120" s="111" t="s">
        <v>51</v>
      </c>
      <c r="B120" s="108" t="s">
        <v>2</v>
      </c>
      <c r="C120" s="109">
        <f>SUM(C124:C136)</f>
        <v>0</v>
      </c>
      <c r="D120" s="109">
        <f>SUM(D124:D136)</f>
        <v>0</v>
      </c>
      <c r="E120" s="109">
        <f>SUM(E124:E136)</f>
        <v>0</v>
      </c>
      <c r="F120" s="109">
        <f>SUM(F124:F136)</f>
        <v>0</v>
      </c>
    </row>
    <row r="121" spans="1:7" ht="24" x14ac:dyDescent="0.2">
      <c r="A121" s="34"/>
      <c r="B121" s="25" t="s">
        <v>3</v>
      </c>
      <c r="C121" s="61"/>
      <c r="D121" s="99"/>
      <c r="E121" s="99"/>
      <c r="F121" s="99"/>
    </row>
    <row r="122" spans="1:7" ht="24" x14ac:dyDescent="0.2">
      <c r="A122" s="40" t="s">
        <v>38</v>
      </c>
      <c r="B122" s="25"/>
      <c r="C122" s="61"/>
      <c r="D122" s="98"/>
      <c r="E122" s="98"/>
      <c r="F122" s="98"/>
    </row>
    <row r="123" spans="1:7" ht="24" x14ac:dyDescent="0.2">
      <c r="A123" s="28" t="s">
        <v>9</v>
      </c>
      <c r="B123" s="25"/>
      <c r="C123" s="61"/>
      <c r="D123" s="98"/>
      <c r="E123" s="98"/>
      <c r="F123" s="98"/>
    </row>
    <row r="124" spans="1:7" s="122" customFormat="1" ht="24" x14ac:dyDescent="0.2">
      <c r="A124" s="117" t="s">
        <v>21</v>
      </c>
      <c r="B124" s="118" t="s">
        <v>2</v>
      </c>
      <c r="C124" s="119">
        <f>SUM(D124:F124)</f>
        <v>0</v>
      </c>
      <c r="D124" s="120"/>
      <c r="E124" s="120"/>
      <c r="F124" s="120"/>
      <c r="G124" s="121" t="s">
        <v>59</v>
      </c>
    </row>
    <row r="125" spans="1:7" ht="24" x14ac:dyDescent="0.2">
      <c r="A125" s="28" t="s">
        <v>10</v>
      </c>
      <c r="B125" s="25"/>
      <c r="C125" s="61"/>
      <c r="D125" s="98"/>
      <c r="E125" s="98"/>
      <c r="F125" s="98"/>
    </row>
    <row r="126" spans="1:7" ht="24" x14ac:dyDescent="0.2">
      <c r="A126" s="103" t="s">
        <v>57</v>
      </c>
      <c r="B126" s="25" t="s">
        <v>2</v>
      </c>
      <c r="C126" s="61">
        <f>SUM(D126:F126)</f>
        <v>0</v>
      </c>
      <c r="D126" s="96"/>
      <c r="E126" s="96"/>
      <c r="F126" s="96"/>
      <c r="G126" s="92"/>
    </row>
    <row r="127" spans="1:7" ht="24" x14ac:dyDescent="0.2">
      <c r="A127" s="103" t="s">
        <v>58</v>
      </c>
      <c r="B127" s="25" t="s">
        <v>2</v>
      </c>
      <c r="C127" s="61">
        <f>SUM(D127:F127)</f>
        <v>0</v>
      </c>
      <c r="D127" s="96"/>
      <c r="E127" s="96"/>
      <c r="F127" s="96"/>
    </row>
    <row r="128" spans="1:7" ht="24" x14ac:dyDescent="0.2">
      <c r="A128" s="103" t="s">
        <v>75</v>
      </c>
      <c r="B128" s="25" t="s">
        <v>2</v>
      </c>
      <c r="C128" s="61">
        <f>SUM(D128:F128)</f>
        <v>0</v>
      </c>
      <c r="D128" s="96"/>
      <c r="E128" s="96"/>
      <c r="F128" s="96"/>
    </row>
    <row r="129" spans="1:7" ht="24" x14ac:dyDescent="0.2">
      <c r="A129" s="103" t="s">
        <v>76</v>
      </c>
      <c r="B129" s="25"/>
      <c r="C129" s="61"/>
      <c r="D129" s="96"/>
      <c r="E129" s="96"/>
      <c r="F129" s="96"/>
    </row>
    <row r="130" spans="1:7" ht="24" x14ac:dyDescent="0.2">
      <c r="A130" s="103" t="s">
        <v>77</v>
      </c>
      <c r="B130" s="25" t="s">
        <v>2</v>
      </c>
      <c r="C130" s="61">
        <f>SUM(D130:F130)</f>
        <v>0</v>
      </c>
      <c r="D130" s="96"/>
      <c r="E130" s="96"/>
      <c r="F130" s="96"/>
    </row>
    <row r="131" spans="1:7" ht="24" x14ac:dyDescent="0.2">
      <c r="A131" s="103" t="s">
        <v>78</v>
      </c>
      <c r="B131" s="25"/>
      <c r="C131" s="61"/>
      <c r="D131" s="96"/>
      <c r="E131" s="96"/>
      <c r="F131" s="96"/>
    </row>
    <row r="132" spans="1:7" ht="24" x14ac:dyDescent="0.2">
      <c r="A132" s="103" t="s">
        <v>79</v>
      </c>
      <c r="B132" s="25" t="s">
        <v>2</v>
      </c>
      <c r="C132" s="61"/>
      <c r="D132" s="96"/>
      <c r="E132" s="96"/>
      <c r="F132" s="96"/>
    </row>
    <row r="133" spans="1:7" ht="24" x14ac:dyDescent="0.2">
      <c r="A133" s="27" t="s">
        <v>80</v>
      </c>
      <c r="B133" s="25"/>
      <c r="C133" s="61"/>
      <c r="D133" s="96"/>
      <c r="E133" s="96"/>
      <c r="F133" s="96"/>
    </row>
    <row r="134" spans="1:7" ht="24" x14ac:dyDescent="0.2">
      <c r="A134" s="28" t="s">
        <v>11</v>
      </c>
      <c r="B134" s="25"/>
      <c r="C134" s="61"/>
      <c r="D134" s="97"/>
      <c r="E134" s="97"/>
      <c r="F134" s="97"/>
    </row>
    <row r="135" spans="1:7" ht="24" x14ac:dyDescent="0.2">
      <c r="A135" s="27" t="s">
        <v>26</v>
      </c>
      <c r="B135" s="25" t="s">
        <v>2</v>
      </c>
      <c r="C135" s="61">
        <f>SUM(D135:F135)</f>
        <v>0</v>
      </c>
      <c r="D135" s="96"/>
      <c r="E135" s="96"/>
      <c r="F135" s="96"/>
    </row>
    <row r="136" spans="1:7" ht="24" x14ac:dyDescent="0.2">
      <c r="A136" s="27" t="s">
        <v>30</v>
      </c>
      <c r="B136" s="25" t="s">
        <v>2</v>
      </c>
      <c r="C136" s="61">
        <f>SUM(D136:F136)</f>
        <v>0</v>
      </c>
      <c r="D136" s="96"/>
      <c r="E136" s="96"/>
      <c r="F136" s="96"/>
      <c r="G136" s="92"/>
    </row>
    <row r="137" spans="1:7" ht="24" x14ac:dyDescent="0.2">
      <c r="A137" s="27" t="s">
        <v>81</v>
      </c>
      <c r="B137" s="25" t="s">
        <v>2</v>
      </c>
      <c r="C137" s="61">
        <f t="shared" ref="C137:C138" si="2">SUM(D137:F137)</f>
        <v>0</v>
      </c>
      <c r="D137" s="96"/>
      <c r="E137" s="96"/>
      <c r="F137" s="96"/>
      <c r="G137" s="92"/>
    </row>
    <row r="138" spans="1:7" ht="24" x14ac:dyDescent="0.2">
      <c r="A138" s="27" t="s">
        <v>82</v>
      </c>
      <c r="B138" s="25" t="s">
        <v>2</v>
      </c>
      <c r="C138" s="61">
        <f t="shared" si="2"/>
        <v>0</v>
      </c>
      <c r="D138" s="96"/>
      <c r="E138" s="96"/>
      <c r="F138" s="96"/>
      <c r="G138" s="92"/>
    </row>
    <row r="139" spans="1:7" ht="24" x14ac:dyDescent="0.2">
      <c r="A139" s="27"/>
      <c r="B139" s="25"/>
      <c r="C139" s="61"/>
      <c r="D139" s="96"/>
      <c r="E139" s="96"/>
      <c r="F139" s="96"/>
      <c r="G139" s="92"/>
    </row>
    <row r="140" spans="1:7" s="110" customFormat="1" ht="24" x14ac:dyDescent="0.2">
      <c r="A140" s="111" t="s">
        <v>42</v>
      </c>
      <c r="B140" s="108" t="s">
        <v>2</v>
      </c>
      <c r="C140" s="112">
        <f>SUM(C142:C144)</f>
        <v>0</v>
      </c>
      <c r="D140" s="112">
        <f>SUM(D142:D144)</f>
        <v>0</v>
      </c>
      <c r="E140" s="112">
        <f>SUM(E142:E144)</f>
        <v>0</v>
      </c>
      <c r="F140" s="112">
        <f>SUM(F142:F144)</f>
        <v>0</v>
      </c>
    </row>
    <row r="141" spans="1:7" ht="24" x14ac:dyDescent="0.2">
      <c r="A141" s="103" t="s">
        <v>83</v>
      </c>
      <c r="B141" s="25" t="s">
        <v>2</v>
      </c>
      <c r="C141" s="112"/>
      <c r="D141" s="93"/>
      <c r="E141" s="105"/>
      <c r="F141" s="96"/>
    </row>
    <row r="142" spans="1:7" ht="24" x14ac:dyDescent="0.2">
      <c r="A142" s="103" t="s">
        <v>84</v>
      </c>
      <c r="B142" s="25" t="s">
        <v>2</v>
      </c>
      <c r="C142" s="112"/>
      <c r="D142" s="93"/>
      <c r="E142" s="93"/>
      <c r="F142" s="106"/>
    </row>
    <row r="143" spans="1:7" ht="24" x14ac:dyDescent="0.2">
      <c r="A143" s="103" t="s">
        <v>85</v>
      </c>
      <c r="B143" s="25" t="s">
        <v>2</v>
      </c>
      <c r="C143" s="112"/>
      <c r="D143" s="93"/>
      <c r="E143" s="93"/>
      <c r="F143" s="106"/>
    </row>
    <row r="144" spans="1:7" ht="24" x14ac:dyDescent="0.2">
      <c r="A144" s="103" t="s">
        <v>86</v>
      </c>
      <c r="B144" s="25" t="s">
        <v>2</v>
      </c>
      <c r="C144" s="112"/>
      <c r="D144" s="93"/>
      <c r="E144" s="93"/>
      <c r="F144" s="106"/>
    </row>
    <row r="145" spans="1:7" ht="24" x14ac:dyDescent="0.2">
      <c r="A145" s="27" t="s">
        <v>87</v>
      </c>
      <c r="B145" s="95"/>
      <c r="C145" s="94"/>
      <c r="D145" s="93"/>
      <c r="E145" s="93"/>
      <c r="F145" s="106"/>
      <c r="G145" s="92"/>
    </row>
    <row r="146" spans="1:7" ht="24" x14ac:dyDescent="0.2">
      <c r="A146" s="44" t="s">
        <v>47</v>
      </c>
      <c r="B146" s="31" t="s">
        <v>2</v>
      </c>
      <c r="C146" s="59">
        <f>C109</f>
        <v>0</v>
      </c>
      <c r="D146" s="91">
        <f>D109</f>
        <v>0</v>
      </c>
      <c r="E146" s="91">
        <f>E109</f>
        <v>0</v>
      </c>
      <c r="F146" s="91">
        <f>F109</f>
        <v>0</v>
      </c>
    </row>
    <row r="147" spans="1:7" ht="24" x14ac:dyDescent="0.2">
      <c r="A147" s="44"/>
      <c r="B147" s="31" t="s">
        <v>3</v>
      </c>
      <c r="C147" s="59"/>
      <c r="D147" s="90"/>
      <c r="E147" s="90"/>
      <c r="F147" s="90"/>
    </row>
    <row r="148" spans="1:7" ht="24" x14ac:dyDescent="0.2">
      <c r="A148" s="704" t="s">
        <v>6</v>
      </c>
      <c r="B148" s="35" t="s">
        <v>2</v>
      </c>
      <c r="C148" s="62">
        <f>C146</f>
        <v>0</v>
      </c>
      <c r="D148" s="89">
        <f>D146</f>
        <v>0</v>
      </c>
      <c r="E148" s="89">
        <f>E146</f>
        <v>0</v>
      </c>
      <c r="F148" s="89">
        <f>F146</f>
        <v>0</v>
      </c>
    </row>
    <row r="149" spans="1:7" ht="24" x14ac:dyDescent="0.2">
      <c r="A149" s="705"/>
      <c r="B149" s="36" t="s">
        <v>3</v>
      </c>
      <c r="C149" s="63"/>
      <c r="D149" s="88"/>
      <c r="E149" s="88"/>
      <c r="F149" s="88"/>
    </row>
    <row r="150" spans="1:7" ht="19.5" customHeight="1" x14ac:dyDescent="0.2">
      <c r="A150" s="11"/>
      <c r="B150" s="11"/>
      <c r="C150" s="87"/>
      <c r="D150" s="86"/>
      <c r="E150" s="86"/>
      <c r="F150" s="86"/>
    </row>
    <row r="151" spans="1:7" ht="28.5" customHeight="1" x14ac:dyDescent="0.2">
      <c r="A151" s="3" t="s">
        <v>7</v>
      </c>
      <c r="B151" s="11"/>
      <c r="C151" s="87">
        <f>C113+C120+C140-C109</f>
        <v>0</v>
      </c>
      <c r="D151" s="85"/>
      <c r="E151" s="85"/>
      <c r="F151" s="85"/>
    </row>
  </sheetData>
  <mergeCells count="21">
    <mergeCell ref="A148:A149"/>
    <mergeCell ref="A98:A99"/>
    <mergeCell ref="A103:F103"/>
    <mergeCell ref="A107:A108"/>
    <mergeCell ref="C107:C108"/>
    <mergeCell ref="D107:D108"/>
    <mergeCell ref="E107:E108"/>
    <mergeCell ref="F107:F108"/>
    <mergeCell ref="A46:A47"/>
    <mergeCell ref="A53:F53"/>
    <mergeCell ref="A57:A58"/>
    <mergeCell ref="C57:C58"/>
    <mergeCell ref="D57:D58"/>
    <mergeCell ref="E57:E58"/>
    <mergeCell ref="F57:F58"/>
    <mergeCell ref="A1:F1"/>
    <mergeCell ref="A5:A6"/>
    <mergeCell ref="C5:C6"/>
    <mergeCell ref="D5:D6"/>
    <mergeCell ref="E5:E6"/>
    <mergeCell ref="F5:F6"/>
  </mergeCells>
  <pageMargins left="0.39370078740157483" right="0.39370078740157483" top="0.74803149606299213" bottom="0.19685039370078741" header="0.31496062992125984" footer="0.11811023622047245"/>
  <pageSetup paperSize="9" scale="80" orientation="landscape" horizontalDpi="4294967295" verticalDpi="4294967295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699AA7-EBEB-49E5-92F6-F89A6CF96877}">
  <sheetPr>
    <tabColor rgb="FFC00000"/>
  </sheetPr>
  <dimension ref="A1:F122"/>
  <sheetViews>
    <sheetView zoomScaleNormal="100" zoomScaleSheetLayoutView="100" workbookViewId="0">
      <selection activeCell="A31" sqref="A31"/>
    </sheetView>
  </sheetViews>
  <sheetFormatPr defaultColWidth="9" defaultRowHeight="24" x14ac:dyDescent="0.55000000000000004"/>
  <cols>
    <col min="1" max="1" width="69.125" style="125" customWidth="1"/>
    <col min="2" max="2" width="8.125" style="125" customWidth="1"/>
    <col min="3" max="3" width="16.75" style="125" customWidth="1"/>
    <col min="4" max="4" width="16.75" style="127" customWidth="1"/>
    <col min="5" max="6" width="16.75" style="125" customWidth="1"/>
    <col min="7" max="7" width="4.75" style="125" customWidth="1"/>
    <col min="8" max="16384" width="9" style="125"/>
  </cols>
  <sheetData>
    <row r="1" spans="1:6" x14ac:dyDescent="0.55000000000000004">
      <c r="A1" s="720" t="s">
        <v>94</v>
      </c>
      <c r="B1" s="720"/>
      <c r="C1" s="720"/>
      <c r="D1" s="720"/>
    </row>
    <row r="2" spans="1:6" x14ac:dyDescent="0.55000000000000004">
      <c r="A2" s="126" t="s">
        <v>93</v>
      </c>
      <c r="B2" s="126"/>
      <c r="C2" s="126"/>
    </row>
    <row r="3" spans="1:6" x14ac:dyDescent="0.55000000000000004">
      <c r="A3" s="128" t="s">
        <v>92</v>
      </c>
      <c r="B3" s="128"/>
      <c r="C3" s="128"/>
      <c r="D3" s="129" t="s">
        <v>28</v>
      </c>
    </row>
    <row r="4" spans="1:6" ht="16.5" customHeight="1" x14ac:dyDescent="0.55000000000000004">
      <c r="A4" s="128"/>
      <c r="B4" s="128"/>
      <c r="C4" s="128"/>
    </row>
    <row r="5" spans="1:6" x14ac:dyDescent="0.55000000000000004">
      <c r="A5" s="721" t="s">
        <v>13</v>
      </c>
      <c r="B5" s="130" t="s">
        <v>5</v>
      </c>
      <c r="C5" s="721" t="s">
        <v>1</v>
      </c>
      <c r="D5" s="718" t="s">
        <v>43</v>
      </c>
      <c r="E5" s="718" t="s">
        <v>44</v>
      </c>
      <c r="F5" s="718" t="s">
        <v>45</v>
      </c>
    </row>
    <row r="6" spans="1:6" x14ac:dyDescent="0.55000000000000004">
      <c r="A6" s="722"/>
      <c r="B6" s="131" t="s">
        <v>3</v>
      </c>
      <c r="C6" s="722"/>
      <c r="D6" s="719"/>
      <c r="E6" s="719"/>
      <c r="F6" s="719"/>
    </row>
    <row r="7" spans="1:6" x14ac:dyDescent="0.55000000000000004">
      <c r="A7" s="132" t="s">
        <v>39</v>
      </c>
      <c r="B7" s="133" t="s">
        <v>2</v>
      </c>
      <c r="C7" s="134">
        <f>D7+E7+F7</f>
        <v>26479680</v>
      </c>
      <c r="D7" s="135">
        <f>D9</f>
        <v>10654590</v>
      </c>
      <c r="E7" s="135">
        <f>E9</f>
        <v>9071310</v>
      </c>
      <c r="F7" s="135">
        <f>F9</f>
        <v>6753780</v>
      </c>
    </row>
    <row r="8" spans="1:6" x14ac:dyDescent="0.55000000000000004">
      <c r="A8" s="136"/>
      <c r="B8" s="133" t="s">
        <v>3</v>
      </c>
      <c r="C8" s="134">
        <f>D8+E8+F8</f>
        <v>0</v>
      </c>
      <c r="D8" s="137"/>
      <c r="E8" s="137"/>
      <c r="F8" s="137"/>
    </row>
    <row r="9" spans="1:6" x14ac:dyDescent="0.55000000000000004">
      <c r="A9" s="138" t="s">
        <v>91</v>
      </c>
      <c r="B9" s="139" t="s">
        <v>2</v>
      </c>
      <c r="C9" s="140">
        <f>D9+E9+F9</f>
        <v>26479680</v>
      </c>
      <c r="D9" s="141">
        <f>D11+D18</f>
        <v>10654590</v>
      </c>
      <c r="E9" s="141">
        <f>E11+E18</f>
        <v>9071310</v>
      </c>
      <c r="F9" s="141">
        <f>F11+F18</f>
        <v>6753780</v>
      </c>
    </row>
    <row r="10" spans="1:6" x14ac:dyDescent="0.55000000000000004">
      <c r="A10" s="138"/>
      <c r="B10" s="139" t="s">
        <v>3</v>
      </c>
      <c r="C10" s="140">
        <f>D10+E10+F10</f>
        <v>0</v>
      </c>
      <c r="D10" s="141"/>
      <c r="E10" s="141"/>
      <c r="F10" s="141"/>
    </row>
    <row r="11" spans="1:6" x14ac:dyDescent="0.55000000000000004">
      <c r="A11" s="142" t="s">
        <v>41</v>
      </c>
      <c r="B11" s="143" t="s">
        <v>2</v>
      </c>
      <c r="C11" s="144">
        <f>C15+C17</f>
        <v>263340</v>
      </c>
      <c r="D11" s="144">
        <f>D15+D17</f>
        <v>92460</v>
      </c>
      <c r="E11" s="144">
        <f>E15+E17</f>
        <v>85440</v>
      </c>
      <c r="F11" s="145">
        <f>F15+F17</f>
        <v>85440</v>
      </c>
    </row>
    <row r="12" spans="1:6" x14ac:dyDescent="0.55000000000000004">
      <c r="A12" s="142"/>
      <c r="B12" s="143" t="s">
        <v>3</v>
      </c>
      <c r="C12" s="144"/>
      <c r="D12" s="146"/>
      <c r="E12" s="146"/>
      <c r="F12" s="146"/>
    </row>
    <row r="13" spans="1:6" x14ac:dyDescent="0.55000000000000004">
      <c r="A13" s="147" t="s">
        <v>99</v>
      </c>
      <c r="B13" s="143"/>
      <c r="C13" s="144">
        <f t="shared" ref="C13:C18" si="0">D13+E13+F13</f>
        <v>0</v>
      </c>
      <c r="D13" s="146"/>
      <c r="E13" s="146"/>
      <c r="F13" s="146"/>
    </row>
    <row r="14" spans="1:6" x14ac:dyDescent="0.55000000000000004">
      <c r="A14" s="142" t="s">
        <v>100</v>
      </c>
      <c r="B14" s="143"/>
      <c r="C14" s="144">
        <f t="shared" si="0"/>
        <v>0</v>
      </c>
      <c r="D14" s="146"/>
      <c r="E14" s="146"/>
      <c r="F14" s="146"/>
    </row>
    <row r="15" spans="1:6" x14ac:dyDescent="0.55000000000000004">
      <c r="A15" s="148" t="s">
        <v>101</v>
      </c>
      <c r="B15" s="149" t="s">
        <v>2</v>
      </c>
      <c r="C15" s="144">
        <f t="shared" si="0"/>
        <v>256320</v>
      </c>
      <c r="D15" s="150">
        <v>85440</v>
      </c>
      <c r="E15" s="150">
        <v>85440</v>
      </c>
      <c r="F15" s="150">
        <v>85440</v>
      </c>
    </row>
    <row r="16" spans="1:6" x14ac:dyDescent="0.55000000000000004">
      <c r="A16" s="142" t="s">
        <v>102</v>
      </c>
      <c r="B16" s="143"/>
      <c r="C16" s="144">
        <f t="shared" si="0"/>
        <v>0</v>
      </c>
      <c r="D16" s="146"/>
      <c r="E16" s="146"/>
      <c r="F16" s="146"/>
    </row>
    <row r="17" spans="1:6" x14ac:dyDescent="0.55000000000000004">
      <c r="A17" s="148" t="s">
        <v>103</v>
      </c>
      <c r="B17" s="151" t="s">
        <v>2</v>
      </c>
      <c r="C17" s="144">
        <f t="shared" si="0"/>
        <v>7020</v>
      </c>
      <c r="D17" s="150">
        <v>7020</v>
      </c>
      <c r="E17" s="150">
        <v>0</v>
      </c>
      <c r="F17" s="150">
        <v>0</v>
      </c>
    </row>
    <row r="18" spans="1:6" x14ac:dyDescent="0.55000000000000004">
      <c r="A18" s="142" t="s">
        <v>51</v>
      </c>
      <c r="B18" s="143" t="s">
        <v>2</v>
      </c>
      <c r="C18" s="144">
        <f t="shared" si="0"/>
        <v>26216340</v>
      </c>
      <c r="D18" s="146">
        <f>D21+D25+D34+D46</f>
        <v>10562130</v>
      </c>
      <c r="E18" s="146">
        <f>E21+E25+E34+E46</f>
        <v>8985870</v>
      </c>
      <c r="F18" s="146">
        <f>F21+F25+F34+F46</f>
        <v>6668340</v>
      </c>
    </row>
    <row r="19" spans="1:6" x14ac:dyDescent="0.55000000000000004">
      <c r="A19" s="142"/>
      <c r="B19" s="143" t="s">
        <v>3</v>
      </c>
      <c r="C19" s="144"/>
      <c r="D19" s="146"/>
      <c r="E19" s="146"/>
      <c r="F19" s="146"/>
    </row>
    <row r="20" spans="1:6" x14ac:dyDescent="0.55000000000000004">
      <c r="A20" s="147" t="s">
        <v>104</v>
      </c>
      <c r="B20" s="143"/>
      <c r="C20" s="144"/>
      <c r="D20" s="146"/>
      <c r="E20" s="146"/>
      <c r="F20" s="146"/>
    </row>
    <row r="21" spans="1:6" x14ac:dyDescent="0.55000000000000004">
      <c r="A21" s="152" t="s">
        <v>105</v>
      </c>
      <c r="B21" s="153"/>
      <c r="C21" s="144">
        <f t="shared" ref="C21:C48" si="1">D21+E21+F21</f>
        <v>2067300</v>
      </c>
      <c r="D21" s="154">
        <f>SUM(D22:D24)</f>
        <v>689100</v>
      </c>
      <c r="E21" s="154">
        <f>SUM(E22:E24)</f>
        <v>689100</v>
      </c>
      <c r="F21" s="154">
        <f>SUM(F22:F24)</f>
        <v>689100</v>
      </c>
    </row>
    <row r="22" spans="1:6" x14ac:dyDescent="0.55000000000000004">
      <c r="A22" s="155" t="s">
        <v>106</v>
      </c>
      <c r="B22" s="156" t="s">
        <v>2</v>
      </c>
      <c r="C22" s="144">
        <f t="shared" si="1"/>
        <v>228900</v>
      </c>
      <c r="D22" s="157">
        <v>76300</v>
      </c>
      <c r="E22" s="157">
        <v>76300</v>
      </c>
      <c r="F22" s="157">
        <v>76300</v>
      </c>
    </row>
    <row r="23" spans="1:6" x14ac:dyDescent="0.55000000000000004">
      <c r="A23" s="155" t="s">
        <v>107</v>
      </c>
      <c r="B23" s="156" t="s">
        <v>2</v>
      </c>
      <c r="C23" s="144">
        <f t="shared" si="1"/>
        <v>1094400</v>
      </c>
      <c r="D23" s="157">
        <v>364800</v>
      </c>
      <c r="E23" s="157">
        <v>364800</v>
      </c>
      <c r="F23" s="157">
        <v>364800</v>
      </c>
    </row>
    <row r="24" spans="1:6" x14ac:dyDescent="0.55000000000000004">
      <c r="A24" s="158" t="s">
        <v>108</v>
      </c>
      <c r="B24" s="151" t="s">
        <v>2</v>
      </c>
      <c r="C24" s="144">
        <f t="shared" si="1"/>
        <v>744000</v>
      </c>
      <c r="D24" s="157">
        <v>248000</v>
      </c>
      <c r="E24" s="157">
        <v>248000</v>
      </c>
      <c r="F24" s="157">
        <v>248000</v>
      </c>
    </row>
    <row r="25" spans="1:6" x14ac:dyDescent="0.55000000000000004">
      <c r="A25" s="152" t="s">
        <v>100</v>
      </c>
      <c r="B25" s="153"/>
      <c r="C25" s="144">
        <f t="shared" si="1"/>
        <v>5759970</v>
      </c>
      <c r="D25" s="154">
        <f>SUM(D26:D33)</f>
        <v>3796170</v>
      </c>
      <c r="E25" s="154">
        <f>SUM(E26:E33)</f>
        <v>1963800</v>
      </c>
      <c r="F25" s="154">
        <f>SUM(F26:F33)</f>
        <v>0</v>
      </c>
    </row>
    <row r="26" spans="1:6" x14ac:dyDescent="0.55000000000000004">
      <c r="A26" s="155" t="s">
        <v>109</v>
      </c>
      <c r="B26" s="151" t="s">
        <v>2</v>
      </c>
      <c r="C26" s="144">
        <f t="shared" si="1"/>
        <v>108000</v>
      </c>
      <c r="D26" s="150">
        <v>0</v>
      </c>
      <c r="E26" s="150">
        <v>108000</v>
      </c>
      <c r="F26" s="150">
        <v>0</v>
      </c>
    </row>
    <row r="27" spans="1:6" x14ac:dyDescent="0.55000000000000004">
      <c r="A27" s="159" t="s">
        <v>110</v>
      </c>
      <c r="B27" s="151" t="s">
        <v>2</v>
      </c>
      <c r="C27" s="144">
        <f t="shared" si="1"/>
        <v>10860</v>
      </c>
      <c r="D27" s="150">
        <v>10860</v>
      </c>
      <c r="E27" s="150">
        <v>0</v>
      </c>
      <c r="F27" s="150">
        <v>0</v>
      </c>
    </row>
    <row r="28" spans="1:6" x14ac:dyDescent="0.55000000000000004">
      <c r="A28" s="159" t="s">
        <v>112</v>
      </c>
      <c r="B28" s="151" t="s">
        <v>2</v>
      </c>
      <c r="C28" s="144">
        <f t="shared" si="1"/>
        <v>1620000</v>
      </c>
      <c r="D28" s="150">
        <v>0</v>
      </c>
      <c r="E28" s="150">
        <v>1620000</v>
      </c>
      <c r="F28" s="150">
        <v>0</v>
      </c>
    </row>
    <row r="29" spans="1:6" x14ac:dyDescent="0.55000000000000004">
      <c r="A29" s="155" t="s">
        <v>113</v>
      </c>
      <c r="B29" s="151" t="s">
        <v>2</v>
      </c>
      <c r="C29" s="144">
        <f t="shared" si="1"/>
        <v>12000</v>
      </c>
      <c r="D29" s="150">
        <v>12000</v>
      </c>
      <c r="E29" s="150">
        <v>0</v>
      </c>
      <c r="F29" s="150">
        <v>0</v>
      </c>
    </row>
    <row r="30" spans="1:6" x14ac:dyDescent="0.55000000000000004">
      <c r="A30" s="159" t="s">
        <v>114</v>
      </c>
      <c r="B30" s="151" t="s">
        <v>2</v>
      </c>
      <c r="C30" s="144">
        <f t="shared" si="1"/>
        <v>6840</v>
      </c>
      <c r="D30" s="150">
        <v>6840</v>
      </c>
      <c r="E30" s="150">
        <v>0</v>
      </c>
      <c r="F30" s="150">
        <v>0</v>
      </c>
    </row>
    <row r="31" spans="1:6" x14ac:dyDescent="0.55000000000000004">
      <c r="A31" s="155" t="s">
        <v>115</v>
      </c>
      <c r="B31" s="151" t="s">
        <v>2</v>
      </c>
      <c r="C31" s="144">
        <f t="shared" si="1"/>
        <v>455100</v>
      </c>
      <c r="D31" s="150">
        <v>455100</v>
      </c>
      <c r="E31" s="150">
        <v>0</v>
      </c>
      <c r="F31" s="150">
        <v>0</v>
      </c>
    </row>
    <row r="32" spans="1:6" ht="24.75" customHeight="1" x14ac:dyDescent="0.55000000000000004">
      <c r="A32" s="155" t="s">
        <v>116</v>
      </c>
      <c r="B32" s="151" t="s">
        <v>2</v>
      </c>
      <c r="C32" s="144">
        <f t="shared" si="1"/>
        <v>3311370</v>
      </c>
      <c r="D32" s="150">
        <v>3311370</v>
      </c>
      <c r="E32" s="150">
        <v>0</v>
      </c>
      <c r="F32" s="150">
        <v>0</v>
      </c>
    </row>
    <row r="33" spans="1:6" x14ac:dyDescent="0.55000000000000004">
      <c r="A33" s="159" t="s">
        <v>117</v>
      </c>
      <c r="B33" s="151" t="s">
        <v>2</v>
      </c>
      <c r="C33" s="144">
        <f t="shared" si="1"/>
        <v>235800</v>
      </c>
      <c r="D33" s="150">
        <v>0</v>
      </c>
      <c r="E33" s="150">
        <v>235800</v>
      </c>
      <c r="F33" s="150">
        <v>0</v>
      </c>
    </row>
    <row r="34" spans="1:6" x14ac:dyDescent="0.55000000000000004">
      <c r="A34" s="160" t="s">
        <v>111</v>
      </c>
      <c r="B34" s="151"/>
      <c r="C34" s="144">
        <f t="shared" si="1"/>
        <v>451350</v>
      </c>
      <c r="D34" s="161">
        <f>SUM(D35:D45)</f>
        <v>97620</v>
      </c>
      <c r="E34" s="161">
        <f>SUM(E35:E45)</f>
        <v>353730</v>
      </c>
      <c r="F34" s="161">
        <f>SUM(F35:F45)</f>
        <v>0</v>
      </c>
    </row>
    <row r="35" spans="1:6" x14ac:dyDescent="0.55000000000000004">
      <c r="A35" s="159" t="s">
        <v>118</v>
      </c>
      <c r="B35" s="151" t="s">
        <v>2</v>
      </c>
      <c r="C35" s="144">
        <f t="shared" si="1"/>
        <v>60000</v>
      </c>
      <c r="D35" s="150">
        <v>18000</v>
      </c>
      <c r="E35" s="150">
        <v>42000</v>
      </c>
      <c r="F35" s="150">
        <v>0</v>
      </c>
    </row>
    <row r="36" spans="1:6" x14ac:dyDescent="0.55000000000000004">
      <c r="A36" s="159" t="s">
        <v>119</v>
      </c>
      <c r="B36" s="151" t="s">
        <v>2</v>
      </c>
      <c r="C36" s="144">
        <f t="shared" si="1"/>
        <v>38550</v>
      </c>
      <c r="D36" s="150">
        <v>11600</v>
      </c>
      <c r="E36" s="150">
        <v>26950</v>
      </c>
      <c r="F36" s="150">
        <v>0</v>
      </c>
    </row>
    <row r="37" spans="1:6" x14ac:dyDescent="0.55000000000000004">
      <c r="A37" s="159" t="s">
        <v>120</v>
      </c>
      <c r="B37" s="151" t="s">
        <v>2</v>
      </c>
      <c r="C37" s="144">
        <f t="shared" si="1"/>
        <v>8490</v>
      </c>
      <c r="D37" s="150">
        <v>2500</v>
      </c>
      <c r="E37" s="150">
        <v>5990</v>
      </c>
      <c r="F37" s="150">
        <v>0</v>
      </c>
    </row>
    <row r="38" spans="1:6" x14ac:dyDescent="0.55000000000000004">
      <c r="A38" s="155" t="s">
        <v>121</v>
      </c>
      <c r="B38" s="151" t="s">
        <v>2</v>
      </c>
      <c r="C38" s="144">
        <f t="shared" si="1"/>
        <v>7200</v>
      </c>
      <c r="D38" s="150">
        <v>2160</v>
      </c>
      <c r="E38" s="150">
        <v>5040</v>
      </c>
      <c r="F38" s="150">
        <v>0</v>
      </c>
    </row>
    <row r="39" spans="1:6" x14ac:dyDescent="0.55000000000000004">
      <c r="A39" s="159" t="s">
        <v>122</v>
      </c>
      <c r="B39" s="151" t="s">
        <v>2</v>
      </c>
      <c r="C39" s="144">
        <f t="shared" si="1"/>
        <v>10800</v>
      </c>
      <c r="D39" s="150">
        <v>10800</v>
      </c>
      <c r="E39" s="150">
        <v>0</v>
      </c>
      <c r="F39" s="150">
        <v>0</v>
      </c>
    </row>
    <row r="40" spans="1:6" x14ac:dyDescent="0.55000000000000004">
      <c r="A40" s="155" t="s">
        <v>123</v>
      </c>
      <c r="B40" s="151" t="s">
        <v>2</v>
      </c>
      <c r="C40" s="144">
        <f t="shared" si="1"/>
        <v>18000</v>
      </c>
      <c r="D40" s="150">
        <v>18000</v>
      </c>
      <c r="E40" s="150">
        <v>0</v>
      </c>
      <c r="F40" s="150">
        <v>0</v>
      </c>
    </row>
    <row r="41" spans="1:6" x14ac:dyDescent="0.55000000000000004">
      <c r="A41" s="155" t="s">
        <v>124</v>
      </c>
      <c r="B41" s="151" t="s">
        <v>2</v>
      </c>
      <c r="C41" s="144">
        <f t="shared" si="1"/>
        <v>198720</v>
      </c>
      <c r="D41" s="150">
        <v>0</v>
      </c>
      <c r="E41" s="150">
        <v>198720</v>
      </c>
      <c r="F41" s="150">
        <v>0</v>
      </c>
    </row>
    <row r="42" spans="1:6" x14ac:dyDescent="0.55000000000000004">
      <c r="A42" s="155" t="s">
        <v>125</v>
      </c>
      <c r="B42" s="151" t="s">
        <v>2</v>
      </c>
      <c r="C42" s="144">
        <f t="shared" si="1"/>
        <v>18360</v>
      </c>
      <c r="D42" s="150">
        <v>18360</v>
      </c>
      <c r="E42" s="150">
        <v>0</v>
      </c>
      <c r="F42" s="150">
        <v>0</v>
      </c>
    </row>
    <row r="43" spans="1:6" x14ac:dyDescent="0.55000000000000004">
      <c r="A43" s="155" t="s">
        <v>126</v>
      </c>
      <c r="B43" s="151" t="s">
        <v>2</v>
      </c>
      <c r="C43" s="144">
        <f t="shared" si="1"/>
        <v>17430</v>
      </c>
      <c r="D43" s="150">
        <v>0</v>
      </c>
      <c r="E43" s="150">
        <v>17430</v>
      </c>
      <c r="F43" s="150">
        <v>0</v>
      </c>
    </row>
    <row r="44" spans="1:6" x14ac:dyDescent="0.55000000000000004">
      <c r="A44" s="155" t="s">
        <v>127</v>
      </c>
      <c r="B44" s="151" t="s">
        <v>2</v>
      </c>
      <c r="C44" s="144">
        <f t="shared" si="1"/>
        <v>16200</v>
      </c>
      <c r="D44" s="150">
        <v>16200</v>
      </c>
      <c r="E44" s="150">
        <v>0</v>
      </c>
      <c r="F44" s="150">
        <v>0</v>
      </c>
    </row>
    <row r="45" spans="1:6" x14ac:dyDescent="0.55000000000000004">
      <c r="A45" s="155" t="s">
        <v>128</v>
      </c>
      <c r="B45" s="151" t="s">
        <v>2</v>
      </c>
      <c r="C45" s="144">
        <f t="shared" si="1"/>
        <v>57600</v>
      </c>
      <c r="D45" s="150">
        <v>0</v>
      </c>
      <c r="E45" s="150">
        <v>57600</v>
      </c>
      <c r="F45" s="150">
        <v>0</v>
      </c>
    </row>
    <row r="46" spans="1:6" x14ac:dyDescent="0.55000000000000004">
      <c r="A46" s="152" t="s">
        <v>131</v>
      </c>
      <c r="B46" s="151" t="s">
        <v>2</v>
      </c>
      <c r="C46" s="144">
        <f t="shared" si="1"/>
        <v>17937720</v>
      </c>
      <c r="D46" s="162">
        <f>SUM(D47:D48)</f>
        <v>5979240</v>
      </c>
      <c r="E46" s="162">
        <f>SUM(E47:E48)</f>
        <v>5979240</v>
      </c>
      <c r="F46" s="162">
        <f>SUM(F47:F48)</f>
        <v>5979240</v>
      </c>
    </row>
    <row r="47" spans="1:6" x14ac:dyDescent="0.55000000000000004">
      <c r="A47" s="155" t="s">
        <v>129</v>
      </c>
      <c r="B47" s="151" t="s">
        <v>2</v>
      </c>
      <c r="C47" s="144">
        <f t="shared" si="1"/>
        <v>5598720</v>
      </c>
      <c r="D47" s="163">
        <v>1866240</v>
      </c>
      <c r="E47" s="163">
        <v>1866240</v>
      </c>
      <c r="F47" s="163">
        <v>1866240</v>
      </c>
    </row>
    <row r="48" spans="1:6" x14ac:dyDescent="0.55000000000000004">
      <c r="A48" s="164" t="s">
        <v>130</v>
      </c>
      <c r="B48" s="151" t="s">
        <v>2</v>
      </c>
      <c r="C48" s="144">
        <f t="shared" si="1"/>
        <v>12339000</v>
      </c>
      <c r="D48" s="163">
        <v>4113000</v>
      </c>
      <c r="E48" s="163">
        <v>4113000</v>
      </c>
      <c r="F48" s="163">
        <v>4113000</v>
      </c>
    </row>
    <row r="49" spans="1:6" x14ac:dyDescent="0.55000000000000004">
      <c r="A49" s="165" t="s">
        <v>47</v>
      </c>
      <c r="B49" s="166" t="s">
        <v>2</v>
      </c>
      <c r="C49" s="167">
        <f>C7</f>
        <v>26479680</v>
      </c>
      <c r="D49" s="167">
        <f>D7</f>
        <v>10654590</v>
      </c>
      <c r="E49" s="167">
        <f>E7</f>
        <v>9071310</v>
      </c>
      <c r="F49" s="167">
        <f>F7</f>
        <v>6753780</v>
      </c>
    </row>
    <row r="50" spans="1:6" x14ac:dyDescent="0.55000000000000004">
      <c r="A50" s="168"/>
      <c r="B50" s="166" t="s">
        <v>3</v>
      </c>
      <c r="C50" s="166"/>
      <c r="D50" s="169"/>
      <c r="E50" s="170"/>
      <c r="F50" s="170"/>
    </row>
    <row r="51" spans="1:6" s="173" customFormat="1" x14ac:dyDescent="0.4">
      <c r="A51" s="716" t="s">
        <v>6</v>
      </c>
      <c r="B51" s="171" t="s">
        <v>2</v>
      </c>
      <c r="C51" s="172">
        <f>C49</f>
        <v>26479680</v>
      </c>
      <c r="D51" s="172">
        <f>D49</f>
        <v>10654590</v>
      </c>
      <c r="E51" s="172">
        <f>E49</f>
        <v>9071310</v>
      </c>
      <c r="F51" s="172">
        <f>F49</f>
        <v>6753780</v>
      </c>
    </row>
    <row r="52" spans="1:6" s="173" customFormat="1" x14ac:dyDescent="0.4">
      <c r="A52" s="717"/>
      <c r="B52" s="174" t="s">
        <v>3</v>
      </c>
      <c r="C52" s="175"/>
      <c r="D52" s="176"/>
      <c r="E52" s="176"/>
      <c r="F52" s="176"/>
    </row>
    <row r="53" spans="1:6" s="173" customFormat="1" ht="19.5" customHeight="1" x14ac:dyDescent="0.4">
      <c r="A53" s="177"/>
      <c r="B53" s="177"/>
      <c r="C53" s="178"/>
      <c r="D53" s="179"/>
      <c r="E53" s="179"/>
      <c r="F53" s="179"/>
    </row>
    <row r="54" spans="1:6" s="173" customFormat="1" ht="28.5" customHeight="1" x14ac:dyDescent="0.4">
      <c r="A54" s="128" t="s">
        <v>7</v>
      </c>
      <c r="B54" s="177"/>
      <c r="C54" s="177"/>
      <c r="D54" s="180"/>
      <c r="E54" s="180"/>
      <c r="F54" s="180"/>
    </row>
    <row r="55" spans="1:6" ht="24" customHeight="1" x14ac:dyDescent="0.55000000000000004"/>
    <row r="56" spans="1:6" x14ac:dyDescent="0.55000000000000004">
      <c r="A56" s="720" t="s">
        <v>94</v>
      </c>
      <c r="B56" s="720"/>
      <c r="C56" s="720"/>
      <c r="D56" s="720"/>
    </row>
    <row r="57" spans="1:6" x14ac:dyDescent="0.55000000000000004">
      <c r="A57" s="126" t="s">
        <v>93</v>
      </c>
      <c r="B57" s="126"/>
      <c r="C57" s="126"/>
    </row>
    <row r="58" spans="1:6" x14ac:dyDescent="0.55000000000000004">
      <c r="A58" s="128" t="s">
        <v>98</v>
      </c>
      <c r="B58" s="128"/>
      <c r="C58" s="128"/>
      <c r="D58" s="129" t="s">
        <v>28</v>
      </c>
    </row>
    <row r="59" spans="1:6" ht="16.5" customHeight="1" x14ac:dyDescent="0.55000000000000004">
      <c r="A59" s="128"/>
      <c r="B59" s="128"/>
      <c r="C59" s="128"/>
    </row>
    <row r="60" spans="1:6" x14ac:dyDescent="0.55000000000000004">
      <c r="A60" s="721" t="s">
        <v>13</v>
      </c>
      <c r="B60" s="130" t="s">
        <v>5</v>
      </c>
      <c r="C60" s="721" t="s">
        <v>1</v>
      </c>
      <c r="D60" s="718" t="s">
        <v>43</v>
      </c>
      <c r="E60" s="718" t="s">
        <v>44</v>
      </c>
      <c r="F60" s="718" t="s">
        <v>45</v>
      </c>
    </row>
    <row r="61" spans="1:6" x14ac:dyDescent="0.55000000000000004">
      <c r="A61" s="722"/>
      <c r="B61" s="131" t="s">
        <v>3</v>
      </c>
      <c r="C61" s="722"/>
      <c r="D61" s="719"/>
      <c r="E61" s="719"/>
      <c r="F61" s="719"/>
    </row>
    <row r="62" spans="1:6" x14ac:dyDescent="0.55000000000000004">
      <c r="A62" s="132" t="s">
        <v>39</v>
      </c>
      <c r="B62" s="133" t="s">
        <v>2</v>
      </c>
      <c r="C62" s="134">
        <f>D62+E62+F62</f>
        <v>70624620</v>
      </c>
      <c r="D62" s="135">
        <f>D64</f>
        <v>25465994</v>
      </c>
      <c r="E62" s="135">
        <f>E64</f>
        <v>29442274</v>
      </c>
      <c r="F62" s="135">
        <f>F64</f>
        <v>15716352</v>
      </c>
    </row>
    <row r="63" spans="1:6" x14ac:dyDescent="0.55000000000000004">
      <c r="A63" s="136"/>
      <c r="B63" s="133" t="s">
        <v>3</v>
      </c>
      <c r="C63" s="134">
        <f>D63+E63+F63</f>
        <v>0</v>
      </c>
      <c r="D63" s="137"/>
      <c r="E63" s="137"/>
      <c r="F63" s="137"/>
    </row>
    <row r="64" spans="1:6" x14ac:dyDescent="0.55000000000000004">
      <c r="A64" s="138" t="s">
        <v>97</v>
      </c>
      <c r="B64" s="139" t="s">
        <v>2</v>
      </c>
      <c r="C64" s="140">
        <f>D64+E64+F64</f>
        <v>70624620</v>
      </c>
      <c r="D64" s="141">
        <f>D66+D76+D80+D89+D101+D104</f>
        <v>25465994</v>
      </c>
      <c r="E64" s="141">
        <f>E66+E76+E80+E89+E101+E104</f>
        <v>29442274</v>
      </c>
      <c r="F64" s="141">
        <f>F66+F76+F80+F89+F101+F104</f>
        <v>15716352</v>
      </c>
    </row>
    <row r="65" spans="1:6" x14ac:dyDescent="0.55000000000000004">
      <c r="A65" s="138"/>
      <c r="B65" s="139" t="s">
        <v>3</v>
      </c>
      <c r="C65" s="140">
        <f>D65+E65+F65</f>
        <v>0</v>
      </c>
      <c r="D65" s="141"/>
      <c r="E65" s="141"/>
      <c r="F65" s="141"/>
    </row>
    <row r="66" spans="1:6" x14ac:dyDescent="0.55000000000000004">
      <c r="A66" s="142" t="s">
        <v>41</v>
      </c>
      <c r="B66" s="143" t="s">
        <v>2</v>
      </c>
      <c r="C66" s="144">
        <f>C70+C72</f>
        <v>400860</v>
      </c>
      <c r="D66" s="144">
        <f>D70+D72</f>
        <v>144540</v>
      </c>
      <c r="E66" s="144">
        <f>E70+E72</f>
        <v>128160</v>
      </c>
      <c r="F66" s="145">
        <f>F70+F72</f>
        <v>128160</v>
      </c>
    </row>
    <row r="67" spans="1:6" x14ac:dyDescent="0.55000000000000004">
      <c r="A67" s="142"/>
      <c r="B67" s="143" t="s">
        <v>3</v>
      </c>
      <c r="C67" s="144"/>
      <c r="D67" s="146"/>
      <c r="E67" s="146"/>
      <c r="F67" s="146"/>
    </row>
    <row r="68" spans="1:6" x14ac:dyDescent="0.55000000000000004">
      <c r="A68" s="147" t="s">
        <v>104</v>
      </c>
      <c r="B68" s="143"/>
      <c r="C68" s="144">
        <f t="shared" ref="C68:C73" si="2">D68+E68+F68</f>
        <v>0</v>
      </c>
      <c r="D68" s="146"/>
      <c r="E68" s="146"/>
      <c r="F68" s="146"/>
    </row>
    <row r="69" spans="1:6" x14ac:dyDescent="0.55000000000000004">
      <c r="A69" s="142" t="s">
        <v>100</v>
      </c>
      <c r="B69" s="143"/>
      <c r="C69" s="144">
        <f t="shared" si="2"/>
        <v>0</v>
      </c>
      <c r="D69" s="146"/>
      <c r="E69" s="146"/>
      <c r="F69" s="146"/>
    </row>
    <row r="70" spans="1:6" x14ac:dyDescent="0.55000000000000004">
      <c r="A70" s="148" t="s">
        <v>101</v>
      </c>
      <c r="B70" s="149" t="s">
        <v>2</v>
      </c>
      <c r="C70" s="144">
        <f t="shared" si="2"/>
        <v>384480</v>
      </c>
      <c r="D70" s="150">
        <v>128160</v>
      </c>
      <c r="E70" s="150">
        <v>128160</v>
      </c>
      <c r="F70" s="150">
        <v>128160</v>
      </c>
    </row>
    <row r="71" spans="1:6" x14ac:dyDescent="0.55000000000000004">
      <c r="A71" s="142" t="s">
        <v>111</v>
      </c>
      <c r="B71" s="143"/>
      <c r="C71" s="144">
        <f t="shared" si="2"/>
        <v>0</v>
      </c>
      <c r="D71" s="146"/>
      <c r="E71" s="146"/>
      <c r="F71" s="146"/>
    </row>
    <row r="72" spans="1:6" x14ac:dyDescent="0.55000000000000004">
      <c r="A72" s="148" t="s">
        <v>132</v>
      </c>
      <c r="B72" s="151" t="s">
        <v>2</v>
      </c>
      <c r="C72" s="144">
        <f t="shared" si="2"/>
        <v>16380</v>
      </c>
      <c r="D72" s="150">
        <v>16380</v>
      </c>
      <c r="E72" s="150">
        <v>0</v>
      </c>
      <c r="F72" s="150">
        <v>0</v>
      </c>
    </row>
    <row r="73" spans="1:6" x14ac:dyDescent="0.55000000000000004">
      <c r="A73" s="142" t="s">
        <v>51</v>
      </c>
      <c r="B73" s="143" t="s">
        <v>2</v>
      </c>
      <c r="C73" s="144">
        <f t="shared" si="2"/>
        <v>19316780</v>
      </c>
      <c r="D73" s="146">
        <f>D76+D80+D89</f>
        <v>10693394</v>
      </c>
      <c r="E73" s="146">
        <f>E76+E80+E89</f>
        <v>7015554</v>
      </c>
      <c r="F73" s="146">
        <f>F76+F80+F89</f>
        <v>1607832</v>
      </c>
    </row>
    <row r="74" spans="1:6" x14ac:dyDescent="0.55000000000000004">
      <c r="A74" s="142"/>
      <c r="B74" s="143" t="s">
        <v>3</v>
      </c>
      <c r="C74" s="144"/>
      <c r="D74" s="146"/>
      <c r="E74" s="146"/>
      <c r="F74" s="146"/>
    </row>
    <row r="75" spans="1:6" x14ac:dyDescent="0.55000000000000004">
      <c r="A75" s="147" t="s">
        <v>104</v>
      </c>
      <c r="B75" s="143"/>
      <c r="C75" s="144"/>
      <c r="D75" s="146"/>
      <c r="E75" s="146"/>
      <c r="F75" s="146"/>
    </row>
    <row r="76" spans="1:6" x14ac:dyDescent="0.55000000000000004">
      <c r="A76" s="152" t="s">
        <v>105</v>
      </c>
      <c r="B76" s="153"/>
      <c r="C76" s="144">
        <f t="shared" ref="C76:C108" si="3">D76+E76+F76</f>
        <v>4823700</v>
      </c>
      <c r="D76" s="154">
        <f>SUM(D77:D79)</f>
        <v>1607934</v>
      </c>
      <c r="E76" s="154">
        <f>SUM(E77:E79)</f>
        <v>1607934</v>
      </c>
      <c r="F76" s="154">
        <f>SUM(F77:F79)</f>
        <v>1607832</v>
      </c>
    </row>
    <row r="77" spans="1:6" x14ac:dyDescent="0.55000000000000004">
      <c r="A77" s="155" t="s">
        <v>133</v>
      </c>
      <c r="B77" s="156" t="s">
        <v>2</v>
      </c>
      <c r="C77" s="144">
        <f t="shared" si="3"/>
        <v>534100</v>
      </c>
      <c r="D77" s="157">
        <v>178034</v>
      </c>
      <c r="E77" s="157">
        <v>178034</v>
      </c>
      <c r="F77" s="157">
        <v>178032</v>
      </c>
    </row>
    <row r="78" spans="1:6" x14ac:dyDescent="0.55000000000000004">
      <c r="A78" s="155" t="s">
        <v>134</v>
      </c>
      <c r="B78" s="156" t="s">
        <v>2</v>
      </c>
      <c r="C78" s="144">
        <f t="shared" si="3"/>
        <v>2553600</v>
      </c>
      <c r="D78" s="157">
        <v>851200</v>
      </c>
      <c r="E78" s="157">
        <v>851200</v>
      </c>
      <c r="F78" s="157">
        <v>851200</v>
      </c>
    </row>
    <row r="79" spans="1:6" x14ac:dyDescent="0.55000000000000004">
      <c r="A79" s="158" t="s">
        <v>135</v>
      </c>
      <c r="B79" s="151" t="s">
        <v>2</v>
      </c>
      <c r="C79" s="144">
        <f t="shared" si="3"/>
        <v>1736000</v>
      </c>
      <c r="D79" s="157">
        <v>578700</v>
      </c>
      <c r="E79" s="157">
        <v>578700</v>
      </c>
      <c r="F79" s="157">
        <v>578600</v>
      </c>
    </row>
    <row r="80" spans="1:6" x14ac:dyDescent="0.55000000000000004">
      <c r="A80" s="152" t="s">
        <v>100</v>
      </c>
      <c r="B80" s="153"/>
      <c r="C80" s="144">
        <f t="shared" si="3"/>
        <v>13439930</v>
      </c>
      <c r="D80" s="154">
        <f>SUM(D81:D88)</f>
        <v>8857730</v>
      </c>
      <c r="E80" s="154">
        <f>SUM(E81:E88)</f>
        <v>4582200</v>
      </c>
      <c r="F80" s="154">
        <f>SUM(F81:F88)</f>
        <v>0</v>
      </c>
    </row>
    <row r="81" spans="1:6" x14ac:dyDescent="0.55000000000000004">
      <c r="A81" s="155" t="s">
        <v>109</v>
      </c>
      <c r="B81" s="151" t="s">
        <v>2</v>
      </c>
      <c r="C81" s="144">
        <f t="shared" si="3"/>
        <v>252000</v>
      </c>
      <c r="D81" s="150">
        <v>0</v>
      </c>
      <c r="E81" s="150">
        <v>252000</v>
      </c>
      <c r="F81" s="150">
        <v>0</v>
      </c>
    </row>
    <row r="82" spans="1:6" x14ac:dyDescent="0.55000000000000004">
      <c r="A82" s="159" t="s">
        <v>110</v>
      </c>
      <c r="B82" s="151" t="s">
        <v>2</v>
      </c>
      <c r="C82" s="144">
        <f t="shared" si="3"/>
        <v>25340</v>
      </c>
      <c r="D82" s="150">
        <v>25340</v>
      </c>
      <c r="E82" s="150">
        <v>0</v>
      </c>
      <c r="F82" s="150">
        <v>0</v>
      </c>
    </row>
    <row r="83" spans="1:6" x14ac:dyDescent="0.55000000000000004">
      <c r="A83" s="159" t="s">
        <v>112</v>
      </c>
      <c r="B83" s="151" t="s">
        <v>2</v>
      </c>
      <c r="C83" s="144">
        <f t="shared" si="3"/>
        <v>3780000</v>
      </c>
      <c r="D83" s="150">
        <v>0</v>
      </c>
      <c r="E83" s="150">
        <v>3780000</v>
      </c>
      <c r="F83" s="150">
        <v>0</v>
      </c>
    </row>
    <row r="84" spans="1:6" x14ac:dyDescent="0.55000000000000004">
      <c r="A84" s="155" t="s">
        <v>113</v>
      </c>
      <c r="B84" s="151" t="s">
        <v>2</v>
      </c>
      <c r="C84" s="144">
        <f t="shared" si="3"/>
        <v>28000</v>
      </c>
      <c r="D84" s="150">
        <v>28000</v>
      </c>
      <c r="E84" s="150">
        <v>0</v>
      </c>
      <c r="F84" s="150">
        <v>0</v>
      </c>
    </row>
    <row r="85" spans="1:6" x14ac:dyDescent="0.55000000000000004">
      <c r="A85" s="159" t="s">
        <v>114</v>
      </c>
      <c r="B85" s="151" t="s">
        <v>2</v>
      </c>
      <c r="C85" s="144">
        <f t="shared" si="3"/>
        <v>15960</v>
      </c>
      <c r="D85" s="150">
        <v>15960</v>
      </c>
      <c r="E85" s="150">
        <v>0</v>
      </c>
      <c r="F85" s="150">
        <v>0</v>
      </c>
    </row>
    <row r="86" spans="1:6" x14ac:dyDescent="0.55000000000000004">
      <c r="A86" s="155" t="s">
        <v>115</v>
      </c>
      <c r="B86" s="151" t="s">
        <v>2</v>
      </c>
      <c r="C86" s="144">
        <f t="shared" si="3"/>
        <v>1061900</v>
      </c>
      <c r="D86" s="150">
        <v>1061900</v>
      </c>
      <c r="E86" s="150">
        <v>0</v>
      </c>
      <c r="F86" s="150">
        <v>0</v>
      </c>
    </row>
    <row r="87" spans="1:6" ht="24.75" customHeight="1" x14ac:dyDescent="0.55000000000000004">
      <c r="A87" s="155" t="s">
        <v>116</v>
      </c>
      <c r="B87" s="151" t="s">
        <v>2</v>
      </c>
      <c r="C87" s="144">
        <f t="shared" si="3"/>
        <v>7726530</v>
      </c>
      <c r="D87" s="150">
        <v>7726530</v>
      </c>
      <c r="E87" s="150">
        <v>0</v>
      </c>
      <c r="F87" s="150">
        <v>0</v>
      </c>
    </row>
    <row r="88" spans="1:6" x14ac:dyDescent="0.55000000000000004">
      <c r="A88" s="159" t="s">
        <v>117</v>
      </c>
      <c r="B88" s="151" t="s">
        <v>2</v>
      </c>
      <c r="C88" s="144">
        <f t="shared" si="3"/>
        <v>550200</v>
      </c>
      <c r="D88" s="150">
        <v>0</v>
      </c>
      <c r="E88" s="150">
        <v>550200</v>
      </c>
      <c r="F88" s="150">
        <v>0</v>
      </c>
    </row>
    <row r="89" spans="1:6" x14ac:dyDescent="0.55000000000000004">
      <c r="A89" s="160" t="s">
        <v>102</v>
      </c>
      <c r="B89" s="151"/>
      <c r="C89" s="144">
        <f t="shared" si="3"/>
        <v>1053150</v>
      </c>
      <c r="D89" s="161">
        <f>SUM(D90:D100)</f>
        <v>227730</v>
      </c>
      <c r="E89" s="161">
        <f>SUM(E90:E100)</f>
        <v>825420</v>
      </c>
      <c r="F89" s="161">
        <f>SUM(F90:F100)</f>
        <v>0</v>
      </c>
    </row>
    <row r="90" spans="1:6" x14ac:dyDescent="0.55000000000000004">
      <c r="A90" s="159" t="s">
        <v>136</v>
      </c>
      <c r="B90" s="151" t="s">
        <v>2</v>
      </c>
      <c r="C90" s="144">
        <f t="shared" si="3"/>
        <v>140000</v>
      </c>
      <c r="D90" s="150">
        <v>42000</v>
      </c>
      <c r="E90" s="150">
        <v>98000</v>
      </c>
      <c r="F90" s="150">
        <v>0</v>
      </c>
    </row>
    <row r="91" spans="1:6" x14ac:dyDescent="0.55000000000000004">
      <c r="A91" s="159" t="s">
        <v>137</v>
      </c>
      <c r="B91" s="151" t="s">
        <v>2</v>
      </c>
      <c r="C91" s="144">
        <f t="shared" si="3"/>
        <v>89950</v>
      </c>
      <c r="D91" s="150">
        <v>26950</v>
      </c>
      <c r="E91" s="150">
        <v>63000</v>
      </c>
      <c r="F91" s="150">
        <v>0</v>
      </c>
    </row>
    <row r="92" spans="1:6" x14ac:dyDescent="0.55000000000000004">
      <c r="A92" s="159" t="s">
        <v>138</v>
      </c>
      <c r="B92" s="151" t="s">
        <v>2</v>
      </c>
      <c r="C92" s="144">
        <f t="shared" si="3"/>
        <v>19810</v>
      </c>
      <c r="D92" s="150">
        <v>5900</v>
      </c>
      <c r="E92" s="150">
        <v>13910</v>
      </c>
      <c r="F92" s="150">
        <v>0</v>
      </c>
    </row>
    <row r="93" spans="1:6" x14ac:dyDescent="0.55000000000000004">
      <c r="A93" s="155" t="s">
        <v>139</v>
      </c>
      <c r="B93" s="151" t="s">
        <v>2</v>
      </c>
      <c r="C93" s="144">
        <f t="shared" si="3"/>
        <v>16800</v>
      </c>
      <c r="D93" s="150">
        <v>5040</v>
      </c>
      <c r="E93" s="150">
        <v>11760</v>
      </c>
      <c r="F93" s="150">
        <v>0</v>
      </c>
    </row>
    <row r="94" spans="1:6" x14ac:dyDescent="0.55000000000000004">
      <c r="A94" s="159" t="s">
        <v>140</v>
      </c>
      <c r="B94" s="151" t="s">
        <v>2</v>
      </c>
      <c r="C94" s="144">
        <f t="shared" si="3"/>
        <v>25200</v>
      </c>
      <c r="D94" s="150">
        <v>25200</v>
      </c>
      <c r="E94" s="150">
        <v>0</v>
      </c>
      <c r="F94" s="150">
        <v>0</v>
      </c>
    </row>
    <row r="95" spans="1:6" x14ac:dyDescent="0.55000000000000004">
      <c r="A95" s="155" t="s">
        <v>141</v>
      </c>
      <c r="B95" s="151" t="s">
        <v>2</v>
      </c>
      <c r="C95" s="144">
        <f t="shared" si="3"/>
        <v>42000</v>
      </c>
      <c r="D95" s="150">
        <v>42000</v>
      </c>
      <c r="E95" s="150">
        <v>0</v>
      </c>
      <c r="F95" s="150">
        <v>0</v>
      </c>
    </row>
    <row r="96" spans="1:6" x14ac:dyDescent="0.55000000000000004">
      <c r="A96" s="155" t="s">
        <v>142</v>
      </c>
      <c r="B96" s="151" t="s">
        <v>2</v>
      </c>
      <c r="C96" s="144">
        <f t="shared" si="3"/>
        <v>463680</v>
      </c>
      <c r="D96" s="150">
        <v>0</v>
      </c>
      <c r="E96" s="150">
        <v>463680</v>
      </c>
      <c r="F96" s="150">
        <v>0</v>
      </c>
    </row>
    <row r="97" spans="1:6" x14ac:dyDescent="0.55000000000000004">
      <c r="A97" s="155" t="s">
        <v>143</v>
      </c>
      <c r="B97" s="151" t="s">
        <v>2</v>
      </c>
      <c r="C97" s="144">
        <f t="shared" si="3"/>
        <v>42840</v>
      </c>
      <c r="D97" s="150">
        <v>42840</v>
      </c>
      <c r="E97" s="150">
        <v>0</v>
      </c>
      <c r="F97" s="150">
        <v>0</v>
      </c>
    </row>
    <row r="98" spans="1:6" x14ac:dyDescent="0.55000000000000004">
      <c r="A98" s="155" t="s">
        <v>144</v>
      </c>
      <c r="B98" s="151" t="s">
        <v>2</v>
      </c>
      <c r="C98" s="144">
        <f t="shared" si="3"/>
        <v>40670</v>
      </c>
      <c r="D98" s="150">
        <v>0</v>
      </c>
      <c r="E98" s="150">
        <v>40670</v>
      </c>
      <c r="F98" s="150">
        <v>0</v>
      </c>
    </row>
    <row r="99" spans="1:6" x14ac:dyDescent="0.55000000000000004">
      <c r="A99" s="155" t="s">
        <v>145</v>
      </c>
      <c r="B99" s="151" t="s">
        <v>2</v>
      </c>
      <c r="C99" s="144">
        <f t="shared" si="3"/>
        <v>37800</v>
      </c>
      <c r="D99" s="150">
        <v>37800</v>
      </c>
      <c r="E99" s="150">
        <v>0</v>
      </c>
      <c r="F99" s="150">
        <v>0</v>
      </c>
    </row>
    <row r="100" spans="1:6" x14ac:dyDescent="0.55000000000000004">
      <c r="A100" s="155" t="s">
        <v>146</v>
      </c>
      <c r="B100" s="151" t="s">
        <v>2</v>
      </c>
      <c r="C100" s="144">
        <f t="shared" si="3"/>
        <v>134400</v>
      </c>
      <c r="D100" s="150">
        <v>0</v>
      </c>
      <c r="E100" s="150">
        <v>134400</v>
      </c>
      <c r="F100" s="150">
        <v>0</v>
      </c>
    </row>
    <row r="101" spans="1:6" x14ac:dyDescent="0.55000000000000004">
      <c r="A101" s="152" t="s">
        <v>96</v>
      </c>
      <c r="B101" s="151" t="s">
        <v>2</v>
      </c>
      <c r="C101" s="144">
        <f t="shared" si="3"/>
        <v>41854680</v>
      </c>
      <c r="D101" s="162">
        <f>SUM(D102:D103)</f>
        <v>13951560</v>
      </c>
      <c r="E101" s="162">
        <f>SUM(E102:E103)</f>
        <v>13951560</v>
      </c>
      <c r="F101" s="162">
        <f>SUM(F102:F103)</f>
        <v>13951560</v>
      </c>
    </row>
    <row r="102" spans="1:6" x14ac:dyDescent="0.55000000000000004">
      <c r="A102" s="155" t="s">
        <v>129</v>
      </c>
      <c r="B102" s="151" t="s">
        <v>2</v>
      </c>
      <c r="C102" s="144">
        <f t="shared" si="3"/>
        <v>13063680</v>
      </c>
      <c r="D102" s="163">
        <v>4354560</v>
      </c>
      <c r="E102" s="163">
        <v>4354560</v>
      </c>
      <c r="F102" s="163">
        <v>4354560</v>
      </c>
    </row>
    <row r="103" spans="1:6" x14ac:dyDescent="0.55000000000000004">
      <c r="A103" s="164" t="s">
        <v>130</v>
      </c>
      <c r="B103" s="151" t="s">
        <v>2</v>
      </c>
      <c r="C103" s="144">
        <f t="shared" si="3"/>
        <v>28791000</v>
      </c>
      <c r="D103" s="163">
        <v>9597000</v>
      </c>
      <c r="E103" s="163">
        <v>9597000</v>
      </c>
      <c r="F103" s="163">
        <v>9597000</v>
      </c>
    </row>
    <row r="104" spans="1:6" x14ac:dyDescent="0.55000000000000004">
      <c r="A104" s="142" t="s">
        <v>95</v>
      </c>
      <c r="B104" s="180"/>
      <c r="C104" s="181">
        <f t="shared" si="3"/>
        <v>9052300</v>
      </c>
      <c r="D104" s="163">
        <f>SUM(D105:D115)</f>
        <v>676500</v>
      </c>
      <c r="E104" s="163">
        <f>SUM(E105:E115)</f>
        <v>8347000</v>
      </c>
      <c r="F104" s="163">
        <f>SUM(F105:F115)</f>
        <v>28800</v>
      </c>
    </row>
    <row r="105" spans="1:6" x14ac:dyDescent="0.55000000000000004">
      <c r="A105" s="148" t="s">
        <v>147</v>
      </c>
      <c r="B105" s="151" t="s">
        <v>2</v>
      </c>
      <c r="C105" s="144">
        <f t="shared" si="3"/>
        <v>22800</v>
      </c>
      <c r="D105" s="182">
        <v>0</v>
      </c>
      <c r="E105" s="182">
        <v>22800</v>
      </c>
      <c r="F105" s="182">
        <v>0</v>
      </c>
    </row>
    <row r="106" spans="1:6" x14ac:dyDescent="0.55000000000000004">
      <c r="A106" s="186" t="s">
        <v>148</v>
      </c>
      <c r="B106" s="151" t="s">
        <v>2</v>
      </c>
      <c r="C106" s="144">
        <f t="shared" si="3"/>
        <v>169500</v>
      </c>
      <c r="D106" s="182">
        <v>169500</v>
      </c>
      <c r="E106" s="182">
        <v>0</v>
      </c>
      <c r="F106" s="182">
        <v>0</v>
      </c>
    </row>
    <row r="107" spans="1:6" x14ac:dyDescent="0.55000000000000004">
      <c r="A107" s="183" t="s">
        <v>149</v>
      </c>
      <c r="B107" s="151" t="s">
        <v>2</v>
      </c>
      <c r="C107" s="144">
        <f t="shared" si="3"/>
        <v>40600</v>
      </c>
      <c r="D107" s="182">
        <v>0</v>
      </c>
      <c r="E107" s="182">
        <v>40600</v>
      </c>
      <c r="F107" s="182">
        <v>0</v>
      </c>
    </row>
    <row r="108" spans="1:6" x14ac:dyDescent="0.55000000000000004">
      <c r="A108" s="187" t="s">
        <v>150</v>
      </c>
      <c r="B108" s="151" t="s">
        <v>2</v>
      </c>
      <c r="C108" s="144">
        <f t="shared" si="3"/>
        <v>140700</v>
      </c>
      <c r="D108" s="182">
        <v>140700</v>
      </c>
      <c r="E108" s="182">
        <v>0</v>
      </c>
      <c r="F108" s="182">
        <v>0</v>
      </c>
    </row>
    <row r="109" spans="1:6" x14ac:dyDescent="0.55000000000000004">
      <c r="A109" s="187" t="s">
        <v>151</v>
      </c>
      <c r="B109" s="151"/>
      <c r="C109" s="144"/>
      <c r="D109" s="182"/>
      <c r="E109" s="182"/>
      <c r="F109" s="182"/>
    </row>
    <row r="110" spans="1:6" x14ac:dyDescent="0.55000000000000004">
      <c r="A110" s="183" t="s">
        <v>152</v>
      </c>
      <c r="B110" s="151" t="s">
        <v>2</v>
      </c>
      <c r="C110" s="144">
        <f>D110+E110+F110</f>
        <v>42900</v>
      </c>
      <c r="D110" s="182">
        <v>42900</v>
      </c>
      <c r="E110" s="182">
        <v>0</v>
      </c>
      <c r="F110" s="182">
        <v>0</v>
      </c>
    </row>
    <row r="111" spans="1:6" x14ac:dyDescent="0.55000000000000004">
      <c r="A111" s="183" t="s">
        <v>151</v>
      </c>
      <c r="B111" s="151"/>
      <c r="C111" s="144"/>
      <c r="D111" s="182"/>
      <c r="E111" s="182"/>
      <c r="F111" s="182"/>
    </row>
    <row r="112" spans="1:6" x14ac:dyDescent="0.55000000000000004">
      <c r="A112" s="187" t="s">
        <v>153</v>
      </c>
      <c r="B112" s="151" t="s">
        <v>2</v>
      </c>
      <c r="C112" s="144">
        <f>D112+E112+F112</f>
        <v>235800</v>
      </c>
      <c r="D112" s="182">
        <v>235800</v>
      </c>
      <c r="E112" s="182">
        <v>0</v>
      </c>
      <c r="F112" s="182">
        <v>0</v>
      </c>
    </row>
    <row r="113" spans="1:6" x14ac:dyDescent="0.55000000000000004">
      <c r="A113" s="148" t="s">
        <v>154</v>
      </c>
      <c r="B113" s="151" t="s">
        <v>2</v>
      </c>
      <c r="C113" s="144">
        <f>D113+E113+F113</f>
        <v>30000</v>
      </c>
      <c r="D113" s="182">
        <v>30000</v>
      </c>
      <c r="E113" s="182">
        <v>0</v>
      </c>
      <c r="F113" s="182">
        <v>0</v>
      </c>
    </row>
    <row r="114" spans="1:6" x14ac:dyDescent="0.55000000000000004">
      <c r="A114" s="183" t="s">
        <v>155</v>
      </c>
      <c r="B114" s="151" t="s">
        <v>2</v>
      </c>
      <c r="C114" s="144">
        <f>D114+E114+F114</f>
        <v>8226000</v>
      </c>
      <c r="D114" s="182">
        <v>0</v>
      </c>
      <c r="E114" s="182">
        <v>8226000</v>
      </c>
      <c r="F114" s="182">
        <v>0</v>
      </c>
    </row>
    <row r="115" spans="1:6" x14ac:dyDescent="0.55000000000000004">
      <c r="A115" s="148" t="s">
        <v>156</v>
      </c>
      <c r="B115" s="151" t="s">
        <v>2</v>
      </c>
      <c r="C115" s="144">
        <f>D115+E115+F115</f>
        <v>144000</v>
      </c>
      <c r="D115" s="182">
        <v>57600</v>
      </c>
      <c r="E115" s="182">
        <v>57600</v>
      </c>
      <c r="F115" s="182">
        <v>28800</v>
      </c>
    </row>
    <row r="116" spans="1:6" x14ac:dyDescent="0.55000000000000004">
      <c r="A116" s="165" t="s">
        <v>47</v>
      </c>
      <c r="B116" s="166" t="s">
        <v>2</v>
      </c>
      <c r="C116" s="167">
        <f>C118</f>
        <v>70624620</v>
      </c>
      <c r="D116" s="167">
        <f>D118</f>
        <v>25465994</v>
      </c>
      <c r="E116" s="167">
        <f>E118</f>
        <v>29442274</v>
      </c>
      <c r="F116" s="167">
        <f>F118</f>
        <v>15716352</v>
      </c>
    </row>
    <row r="117" spans="1:6" x14ac:dyDescent="0.55000000000000004">
      <c r="A117" s="168"/>
      <c r="B117" s="166" t="s">
        <v>3</v>
      </c>
      <c r="C117" s="166"/>
      <c r="D117" s="169"/>
      <c r="E117" s="170"/>
      <c r="F117" s="170"/>
    </row>
    <row r="118" spans="1:6" x14ac:dyDescent="0.55000000000000004">
      <c r="A118" s="716" t="s">
        <v>6</v>
      </c>
      <c r="B118" s="171" t="s">
        <v>2</v>
      </c>
      <c r="C118" s="172">
        <f>C62</f>
        <v>70624620</v>
      </c>
      <c r="D118" s="172">
        <f>D62</f>
        <v>25465994</v>
      </c>
      <c r="E118" s="172">
        <f>E62</f>
        <v>29442274</v>
      </c>
      <c r="F118" s="172">
        <f>F62</f>
        <v>15716352</v>
      </c>
    </row>
    <row r="119" spans="1:6" x14ac:dyDescent="0.55000000000000004">
      <c r="A119" s="717"/>
      <c r="B119" s="174" t="s">
        <v>3</v>
      </c>
      <c r="C119" s="175"/>
      <c r="D119" s="176"/>
      <c r="E119" s="176"/>
      <c r="F119" s="176"/>
    </row>
    <row r="120" spans="1:6" ht="19.5" customHeight="1" x14ac:dyDescent="0.55000000000000004">
      <c r="A120" s="177"/>
      <c r="B120" s="177"/>
      <c r="C120" s="178"/>
      <c r="D120" s="179"/>
      <c r="E120" s="179"/>
      <c r="F120" s="179"/>
    </row>
    <row r="121" spans="1:6" ht="28.5" customHeight="1" x14ac:dyDescent="0.55000000000000004">
      <c r="A121" s="128" t="s">
        <v>7</v>
      </c>
      <c r="B121" s="177"/>
      <c r="C121" s="177"/>
      <c r="D121" s="180"/>
      <c r="E121" s="180"/>
      <c r="F121" s="180"/>
    </row>
    <row r="122" spans="1:6" x14ac:dyDescent="0.55000000000000004">
      <c r="A122" s="184"/>
      <c r="B122" s="180"/>
      <c r="C122" s="180"/>
      <c r="D122" s="185"/>
    </row>
  </sheetData>
  <mergeCells count="14">
    <mergeCell ref="F60:F61"/>
    <mergeCell ref="A118:A119"/>
    <mergeCell ref="A56:D56"/>
    <mergeCell ref="A60:A61"/>
    <mergeCell ref="C60:C61"/>
    <mergeCell ref="D60:D61"/>
    <mergeCell ref="E60:E61"/>
    <mergeCell ref="A51:A52"/>
    <mergeCell ref="E5:E6"/>
    <mergeCell ref="F5:F6"/>
    <mergeCell ref="A1:D1"/>
    <mergeCell ref="D5:D6"/>
    <mergeCell ref="A5:A6"/>
    <mergeCell ref="C5:C6"/>
  </mergeCells>
  <pageMargins left="0.39370078740157483" right="0.39370078740157483" top="0.74803149606299213" bottom="0.74803149606299213" header="0.31496062992125984" footer="0.31496062992125984"/>
  <pageSetup paperSize="9" scale="90" orientation="landscape" horizont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AD7E20-C674-40D0-B798-90905E3895DD}">
  <sheetPr>
    <tabColor rgb="FFC00000"/>
  </sheetPr>
  <dimension ref="A1:K128"/>
  <sheetViews>
    <sheetView tabSelected="1" topLeftCell="A84" workbookViewId="0">
      <selection activeCell="J89" sqref="J89"/>
    </sheetView>
  </sheetViews>
  <sheetFormatPr defaultColWidth="9" defaultRowHeight="24" outlineLevelRow="1" x14ac:dyDescent="0.2"/>
  <cols>
    <col min="1" max="1" width="53" style="219" customWidth="1"/>
    <col min="2" max="4" width="19.125" style="219" customWidth="1"/>
    <col min="5" max="5" width="20.125" style="219" customWidth="1"/>
    <col min="6" max="6" width="1.25" style="219" customWidth="1"/>
    <col min="7" max="7" width="14.75" style="219" hidden="1" customWidth="1"/>
    <col min="8" max="8" width="16.25" style="576" hidden="1" customWidth="1"/>
    <col min="9" max="9" width="14.875" style="219" customWidth="1"/>
    <col min="10" max="10" width="13" style="219" customWidth="1"/>
    <col min="11" max="11" width="20" style="219" customWidth="1"/>
    <col min="12" max="16384" width="9" style="219"/>
  </cols>
  <sheetData>
    <row r="1" spans="1:10" x14ac:dyDescent="0.2">
      <c r="A1" s="672" t="s">
        <v>413</v>
      </c>
      <c r="B1" s="672"/>
      <c r="C1" s="672"/>
      <c r="D1" s="672"/>
      <c r="E1" s="672"/>
    </row>
    <row r="2" spans="1:10" ht="19.5" customHeight="1" x14ac:dyDescent="0.2">
      <c r="A2" s="672" t="s">
        <v>224</v>
      </c>
      <c r="B2" s="672"/>
      <c r="C2" s="672"/>
      <c r="D2" s="672"/>
      <c r="E2" s="672"/>
    </row>
    <row r="3" spans="1:10" ht="4.5" customHeight="1" x14ac:dyDescent="0.2">
      <c r="A3" s="122"/>
      <c r="B3" s="122"/>
      <c r="C3" s="122"/>
      <c r="D3" s="122"/>
      <c r="E3" s="122"/>
    </row>
    <row r="4" spans="1:10" ht="20.100000000000001" customHeight="1" x14ac:dyDescent="0.2">
      <c r="A4" s="122"/>
      <c r="B4" s="122"/>
      <c r="C4" s="122"/>
      <c r="D4" s="122"/>
      <c r="E4" s="584" t="s">
        <v>28</v>
      </c>
    </row>
    <row r="5" spans="1:10" ht="21.95" customHeight="1" x14ac:dyDescent="0.2">
      <c r="A5" s="671" t="s">
        <v>190</v>
      </c>
      <c r="B5" s="585" t="s">
        <v>1</v>
      </c>
      <c r="C5" s="585" t="s">
        <v>191</v>
      </c>
      <c r="D5" s="585" t="s">
        <v>192</v>
      </c>
      <c r="E5" s="585" t="s">
        <v>193</v>
      </c>
      <c r="I5" s="287"/>
      <c r="J5" s="287">
        <f>D7-74171630</f>
        <v>-1589750</v>
      </c>
    </row>
    <row r="6" spans="1:10" s="240" customFormat="1" ht="21.95" customHeight="1" x14ac:dyDescent="0.2">
      <c r="A6" s="671"/>
      <c r="B6" s="585" t="s">
        <v>2</v>
      </c>
      <c r="C6" s="585" t="s">
        <v>2</v>
      </c>
      <c r="D6" s="585" t="s">
        <v>2</v>
      </c>
      <c r="E6" s="585" t="s">
        <v>2</v>
      </c>
      <c r="H6" s="577"/>
    </row>
    <row r="7" spans="1:10" s="240" customFormat="1" ht="24.95" customHeight="1" x14ac:dyDescent="0.2">
      <c r="A7" s="516" t="s">
        <v>340</v>
      </c>
      <c r="B7" s="583">
        <f>SUM(C7:E7)</f>
        <v>218321700</v>
      </c>
      <c r="C7" s="583">
        <f>C8+C16+C19+C22+C26+C36+C44+C53+C59+C69</f>
        <v>113633740</v>
      </c>
      <c r="D7" s="583">
        <f>D8+D16+D19+D22+D26+D36+D44+D53+D59+D69</f>
        <v>72581880</v>
      </c>
      <c r="E7" s="583">
        <f>E8+E16+E19+E22+E26+E36+E44+E53+E59+E69</f>
        <v>32106080</v>
      </c>
      <c r="G7" s="337">
        <f>B7-202387000</f>
        <v>15934700</v>
      </c>
      <c r="H7" s="577"/>
      <c r="I7" s="337"/>
    </row>
    <row r="8" spans="1:10" s="240" customFormat="1" ht="24.95" customHeight="1" x14ac:dyDescent="0.2">
      <c r="A8" s="608" t="s">
        <v>336</v>
      </c>
      <c r="B8" s="609">
        <f>SUM(C8:E8)</f>
        <v>10254600</v>
      </c>
      <c r="C8" s="609">
        <f>C9+C11+C13</f>
        <v>9017900</v>
      </c>
      <c r="D8" s="609">
        <f>D9+D11+D13</f>
        <v>813600</v>
      </c>
      <c r="E8" s="609">
        <f>E9+E11+E13</f>
        <v>423100</v>
      </c>
      <c r="H8" s="577"/>
      <c r="I8" s="337"/>
    </row>
    <row r="9" spans="1:10" s="240" customFormat="1" ht="24.95" customHeight="1" x14ac:dyDescent="0.2">
      <c r="A9" s="283" t="s">
        <v>341</v>
      </c>
      <c r="B9" s="581">
        <f>SUM(C9:E9)</f>
        <v>4217900</v>
      </c>
      <c r="C9" s="581">
        <f>C10</f>
        <v>4217900</v>
      </c>
      <c r="D9" s="581">
        <f t="shared" ref="D9:E9" si="0">D10</f>
        <v>0</v>
      </c>
      <c r="E9" s="581">
        <f t="shared" si="0"/>
        <v>0</v>
      </c>
      <c r="H9" s="577"/>
    </row>
    <row r="10" spans="1:10" ht="24.95" customHeight="1" outlineLevel="1" x14ac:dyDescent="0.2">
      <c r="A10" s="285" t="s">
        <v>48</v>
      </c>
      <c r="B10" s="582">
        <f t="shared" ref="B10" si="1">SUM(C10:E10)</f>
        <v>4217900</v>
      </c>
      <c r="C10" s="582">
        <f>'สงม. 2 (งบบุคลากร)'!D21</f>
        <v>4217900</v>
      </c>
      <c r="D10" s="582">
        <f>'สงม. 2 (งบบุคลากร)'!E21</f>
        <v>0</v>
      </c>
      <c r="E10" s="582">
        <f>'สงม. 2 (งบบุคลากร)'!F21</f>
        <v>0</v>
      </c>
      <c r="G10" s="287">
        <f>B10-3688300</f>
        <v>529600</v>
      </c>
      <c r="H10" s="517">
        <f>B10</f>
        <v>4217900</v>
      </c>
    </row>
    <row r="11" spans="1:10" ht="24.95" customHeight="1" x14ac:dyDescent="0.2">
      <c r="A11" s="283" t="s">
        <v>342</v>
      </c>
      <c r="B11" s="581">
        <f t="shared" ref="B11:B15" si="2">SUM(C11:E11)</f>
        <v>4530100</v>
      </c>
      <c r="C11" s="581">
        <f>SUM(C12:C12)</f>
        <v>4080400</v>
      </c>
      <c r="D11" s="581">
        <f>SUM(D12:D12)</f>
        <v>266000</v>
      </c>
      <c r="E11" s="581">
        <f>SUM(E12:E12)</f>
        <v>183700</v>
      </c>
      <c r="H11" s="517" t="e">
        <f>B11+B13+#REF!</f>
        <v>#REF!</v>
      </c>
      <c r="I11" s="287"/>
    </row>
    <row r="12" spans="1:10" ht="24.95" customHeight="1" outlineLevel="1" x14ac:dyDescent="0.2">
      <c r="A12" s="285" t="s">
        <v>259</v>
      </c>
      <c r="B12" s="582">
        <f t="shared" si="2"/>
        <v>4530100</v>
      </c>
      <c r="C12" s="582">
        <f>'สงม. 2 ปกครอง'!D11</f>
        <v>4080400</v>
      </c>
      <c r="D12" s="582">
        <f>'สงม. 2 ปกครอง'!E11</f>
        <v>266000</v>
      </c>
      <c r="E12" s="582">
        <f>'สงม. 2 ปกครอง'!F11</f>
        <v>183700</v>
      </c>
      <c r="J12" s="287">
        <f>E12+E14+E18+E21+E24+E28+E32+E35+E46+E48+E50+E52+E55+E57+E61+E64+E67+E71+E74+E38</f>
        <v>22140460</v>
      </c>
    </row>
    <row r="13" spans="1:10" ht="24.95" customHeight="1" outlineLevel="1" x14ac:dyDescent="0.2">
      <c r="A13" s="283" t="s">
        <v>343</v>
      </c>
      <c r="B13" s="581">
        <f>SUM(C13:E13)</f>
        <v>1506600</v>
      </c>
      <c r="C13" s="581">
        <f>SUM(C14:C15)</f>
        <v>719600</v>
      </c>
      <c r="D13" s="581">
        <f>SUM(D14:D15)</f>
        <v>547600</v>
      </c>
      <c r="E13" s="581">
        <f>SUM(E14:E15)</f>
        <v>239400</v>
      </c>
      <c r="I13" s="287"/>
      <c r="J13" s="287">
        <f>J12/4</f>
        <v>5535115</v>
      </c>
    </row>
    <row r="14" spans="1:10" ht="24.95" customHeight="1" outlineLevel="1" x14ac:dyDescent="0.2">
      <c r="A14" s="285" t="s">
        <v>259</v>
      </c>
      <c r="B14" s="582">
        <f t="shared" si="2"/>
        <v>983000</v>
      </c>
      <c r="C14" s="582">
        <f>'สงม. 2 ปกครอง'!D42</f>
        <v>376400</v>
      </c>
      <c r="D14" s="582">
        <f>'สงม. 2 ปกครอง'!E42</f>
        <v>428200</v>
      </c>
      <c r="E14" s="582">
        <f>'สงม. 2 ปกครอง'!F42</f>
        <v>178400</v>
      </c>
    </row>
    <row r="15" spans="1:10" ht="24.95" customHeight="1" outlineLevel="1" x14ac:dyDescent="0.2">
      <c r="A15" s="285" t="s">
        <v>330</v>
      </c>
      <c r="B15" s="582">
        <f t="shared" si="2"/>
        <v>523600</v>
      </c>
      <c r="C15" s="582">
        <f>'สงม. 2 ปกครอง'!D66+'สงม. 2 ปกครอง'!D59+'สงม. 2 ปกครอง'!D62</f>
        <v>343200</v>
      </c>
      <c r="D15" s="582">
        <f>'สงม. 2 ปกครอง'!E66+'สงม. 2 ปกครอง'!E59+'สงม. 2 ปกครอง'!E62</f>
        <v>119400</v>
      </c>
      <c r="E15" s="582">
        <f>'สงม. 2 ปกครอง'!F66+'สงม. 2 ปกครอง'!F59+'สงม. 2 ปกครอง'!F62</f>
        <v>61000</v>
      </c>
      <c r="G15" s="287" t="e">
        <f>B15+#REF!</f>
        <v>#REF!</v>
      </c>
      <c r="H15" s="517"/>
    </row>
    <row r="16" spans="1:10" s="240" customFormat="1" ht="24.95" customHeight="1" x14ac:dyDescent="0.2">
      <c r="A16" s="608" t="s">
        <v>336</v>
      </c>
      <c r="B16" s="609">
        <f t="shared" ref="B16:B26" si="3">SUM(C16:E16)</f>
        <v>1301000</v>
      </c>
      <c r="C16" s="609">
        <f>C17</f>
        <v>989910</v>
      </c>
      <c r="D16" s="609">
        <f t="shared" ref="D16" si="4">D17</f>
        <v>170520</v>
      </c>
      <c r="E16" s="609">
        <f>E17</f>
        <v>140570</v>
      </c>
      <c r="H16" s="610">
        <f>B16</f>
        <v>1301000</v>
      </c>
    </row>
    <row r="17" spans="1:10" ht="24.95" customHeight="1" outlineLevel="1" x14ac:dyDescent="0.2">
      <c r="A17" s="283" t="s">
        <v>345</v>
      </c>
      <c r="B17" s="581">
        <f t="shared" si="3"/>
        <v>1301000</v>
      </c>
      <c r="C17" s="581">
        <f>C18</f>
        <v>989910</v>
      </c>
      <c r="D17" s="581">
        <f>SUM(D18:D18)</f>
        <v>170520</v>
      </c>
      <c r="E17" s="581">
        <f>SUM(E18:E18)</f>
        <v>140570</v>
      </c>
      <c r="I17" s="287"/>
    </row>
    <row r="18" spans="1:10" ht="24.95" customHeight="1" outlineLevel="1" x14ac:dyDescent="0.2">
      <c r="A18" s="285" t="s">
        <v>259</v>
      </c>
      <c r="B18" s="578">
        <f t="shared" si="3"/>
        <v>1301000</v>
      </c>
      <c r="C18" s="578">
        <f>'สงม. 2 ทะเบียน'!D11</f>
        <v>989910</v>
      </c>
      <c r="D18" s="578">
        <f>'สงม. 2 ทะเบียน'!E11</f>
        <v>170520</v>
      </c>
      <c r="E18" s="578">
        <f>'สงม. 2 ทะเบียน'!F11</f>
        <v>140570</v>
      </c>
    </row>
    <row r="19" spans="1:10" s="240" customFormat="1" ht="24.95" customHeight="1" x14ac:dyDescent="0.2">
      <c r="A19" s="608" t="s">
        <v>336</v>
      </c>
      <c r="B19" s="609">
        <f t="shared" si="3"/>
        <v>829700</v>
      </c>
      <c r="C19" s="609">
        <f>C20</f>
        <v>582300</v>
      </c>
      <c r="D19" s="609">
        <f t="shared" ref="D19" si="5">D20</f>
        <v>80000</v>
      </c>
      <c r="E19" s="609">
        <f>E20</f>
        <v>167400</v>
      </c>
      <c r="H19" s="610">
        <f>B19</f>
        <v>829700</v>
      </c>
    </row>
    <row r="20" spans="1:10" ht="24.95" customHeight="1" outlineLevel="1" x14ac:dyDescent="0.2">
      <c r="A20" s="283" t="s">
        <v>346</v>
      </c>
      <c r="B20" s="581">
        <f t="shared" si="3"/>
        <v>829700</v>
      </c>
      <c r="C20" s="581">
        <f>SUM(C21:C21)</f>
        <v>582300</v>
      </c>
      <c r="D20" s="581">
        <f>SUM(D21:D21)</f>
        <v>80000</v>
      </c>
      <c r="E20" s="581">
        <f>SUM(E21:E21)</f>
        <v>167400</v>
      </c>
      <c r="I20" s="287"/>
    </row>
    <row r="21" spans="1:10" ht="24.95" customHeight="1" x14ac:dyDescent="0.2">
      <c r="A21" s="285" t="s">
        <v>259</v>
      </c>
      <c r="B21" s="582">
        <f t="shared" si="3"/>
        <v>829700</v>
      </c>
      <c r="C21" s="582">
        <f>'สงม. 2 คลัง'!D11</f>
        <v>582300</v>
      </c>
      <c r="D21" s="582">
        <f>'สงม. 2 คลัง'!E11</f>
        <v>80000</v>
      </c>
      <c r="E21" s="582">
        <f>'สงม. 2 คลัง'!F11</f>
        <v>167400</v>
      </c>
    </row>
    <row r="22" spans="1:10" s="240" customFormat="1" ht="24.95" customHeight="1" x14ac:dyDescent="0.2">
      <c r="A22" s="608" t="s">
        <v>336</v>
      </c>
      <c r="B22" s="609">
        <f t="shared" si="3"/>
        <v>947400</v>
      </c>
      <c r="C22" s="609">
        <f>C23</f>
        <v>809200</v>
      </c>
      <c r="D22" s="609">
        <f>D23</f>
        <v>138200</v>
      </c>
      <c r="E22" s="609">
        <f>E23</f>
        <v>0</v>
      </c>
      <c r="H22" s="610">
        <f>B22</f>
        <v>947400</v>
      </c>
    </row>
    <row r="23" spans="1:10" ht="24.95" customHeight="1" x14ac:dyDescent="0.2">
      <c r="A23" s="283" t="s">
        <v>347</v>
      </c>
      <c r="B23" s="581">
        <f>SUM(C23:E23)</f>
        <v>947400</v>
      </c>
      <c r="C23" s="581">
        <f>SUM(C24:C24)</f>
        <v>809200</v>
      </c>
      <c r="D23" s="581">
        <f>SUM(D24:D24)</f>
        <v>138200</v>
      </c>
      <c r="E23" s="581">
        <f>SUM(E24:E24)</f>
        <v>0</v>
      </c>
      <c r="I23" s="287"/>
    </row>
    <row r="24" spans="1:10" ht="24.95" customHeight="1" x14ac:dyDescent="0.2">
      <c r="A24" s="285" t="s">
        <v>259</v>
      </c>
      <c r="B24" s="582">
        <f>SUM(C24:E24)</f>
        <v>947400</v>
      </c>
      <c r="C24" s="582">
        <f>'สงม. 2 รายได้'!D11</f>
        <v>809200</v>
      </c>
      <c r="D24" s="582">
        <f>'สงม. 2 รายได้'!E11</f>
        <v>138200</v>
      </c>
      <c r="E24" s="582">
        <f>'สงม. 2 รายได้'!F11</f>
        <v>0</v>
      </c>
    </row>
    <row r="25" spans="1:10" ht="7.5" customHeight="1" x14ac:dyDescent="0.2">
      <c r="H25" s="219"/>
    </row>
    <row r="26" spans="1:10" s="240" customFormat="1" ht="24.95" customHeight="1" x14ac:dyDescent="0.2">
      <c r="A26" s="608" t="s">
        <v>336</v>
      </c>
      <c r="B26" s="609">
        <f t="shared" si="3"/>
        <v>22326600</v>
      </c>
      <c r="C26" s="609">
        <f>C27+C31+C34+C29</f>
        <v>6761600</v>
      </c>
      <c r="D26" s="609">
        <f>D27+D31+D34+D29</f>
        <v>11447100</v>
      </c>
      <c r="E26" s="609">
        <f>E27+E31+E34+E29</f>
        <v>4117900</v>
      </c>
      <c r="H26" s="610">
        <f>B26</f>
        <v>22326600</v>
      </c>
    </row>
    <row r="27" spans="1:10" ht="24.95" customHeight="1" x14ac:dyDescent="0.2">
      <c r="A27" s="283" t="s">
        <v>348</v>
      </c>
      <c r="B27" s="581">
        <f>SUM(C27:E27)</f>
        <v>12077900</v>
      </c>
      <c r="C27" s="581">
        <f>SUM(C28:C28)</f>
        <v>3855700</v>
      </c>
      <c r="D27" s="581">
        <f>SUM(D28:D28)</f>
        <v>6317000</v>
      </c>
      <c r="E27" s="581">
        <f>SUM(E28:E28)</f>
        <v>1905200</v>
      </c>
      <c r="F27" s="240"/>
      <c r="G27" s="581">
        <f>SUM(G28:G28)</f>
        <v>0</v>
      </c>
      <c r="H27" s="581">
        <f>SUM(H28:H28)</f>
        <v>0</v>
      </c>
      <c r="I27" s="287"/>
      <c r="J27" s="287"/>
    </row>
    <row r="28" spans="1:10" ht="24.95" customHeight="1" x14ac:dyDescent="0.2">
      <c r="A28" s="296" t="s">
        <v>259</v>
      </c>
      <c r="B28" s="582">
        <f>SUM(C28:E28)</f>
        <v>12077900</v>
      </c>
      <c r="C28" s="582">
        <f>'สงม. 2 รักษาฯ'!D11</f>
        <v>3855700</v>
      </c>
      <c r="D28" s="582">
        <f>'สงม. 2 รักษาฯ'!E11</f>
        <v>6317000</v>
      </c>
      <c r="E28" s="582">
        <f>'สงม. 2 รักษาฯ'!F11</f>
        <v>1905200</v>
      </c>
      <c r="F28" s="240"/>
    </row>
    <row r="29" spans="1:10" ht="24.95" customHeight="1" x14ac:dyDescent="0.2">
      <c r="A29" s="283" t="s">
        <v>382</v>
      </c>
      <c r="B29" s="581">
        <f>SUM(C29:E29)</f>
        <v>466500</v>
      </c>
      <c r="C29" s="581">
        <f>SUM(C30:C30)</f>
        <v>314500</v>
      </c>
      <c r="D29" s="581">
        <f>SUM(D30:D30)</f>
        <v>152000</v>
      </c>
      <c r="E29" s="581">
        <f>SUM(E30:E30)</f>
        <v>0</v>
      </c>
      <c r="I29" s="287"/>
    </row>
    <row r="30" spans="1:10" ht="24.95" customHeight="1" x14ac:dyDescent="0.2">
      <c r="A30" s="285" t="s">
        <v>259</v>
      </c>
      <c r="B30" s="582">
        <f t="shared" ref="B30:B32" si="6">SUM(C30:E30)</f>
        <v>466500</v>
      </c>
      <c r="C30" s="582">
        <f>'สงม. 2 รักษาฯ'!D39</f>
        <v>314500</v>
      </c>
      <c r="D30" s="582">
        <f>'สงม. 2 รักษาฯ'!E39</f>
        <v>152000</v>
      </c>
      <c r="E30" s="582">
        <f>'สงม. 2 รักษาฯ'!F39</f>
        <v>0</v>
      </c>
    </row>
    <row r="31" spans="1:10" ht="24.95" customHeight="1" x14ac:dyDescent="0.2">
      <c r="A31" s="283" t="s">
        <v>349</v>
      </c>
      <c r="B31" s="581">
        <f t="shared" si="6"/>
        <v>5890000</v>
      </c>
      <c r="C31" s="581">
        <f>SUM(C32:C33)</f>
        <v>1590600</v>
      </c>
      <c r="D31" s="581">
        <f t="shared" ref="D31" si="7">SUM(D32:D33)</f>
        <v>2553400</v>
      </c>
      <c r="E31" s="581">
        <f>SUM(E32:E33)</f>
        <v>1746000</v>
      </c>
      <c r="I31" s="287"/>
    </row>
    <row r="32" spans="1:10" ht="24.95" customHeight="1" x14ac:dyDescent="0.2">
      <c r="A32" s="296" t="s">
        <v>259</v>
      </c>
      <c r="B32" s="582">
        <f t="shared" si="6"/>
        <v>5790000</v>
      </c>
      <c r="C32" s="582">
        <f>'สงม. 2 รักษาฯ'!D68</f>
        <v>1490600</v>
      </c>
      <c r="D32" s="582">
        <f>'สงม. 2 รักษาฯ'!E68</f>
        <v>2553400</v>
      </c>
      <c r="E32" s="582">
        <f>'สงม. 2 รักษาฯ'!F68</f>
        <v>1746000</v>
      </c>
    </row>
    <row r="33" spans="1:9" ht="24.95" customHeight="1" x14ac:dyDescent="0.2">
      <c r="A33" s="285" t="s">
        <v>330</v>
      </c>
      <c r="B33" s="582">
        <f t="shared" ref="B33:B35" si="8">SUM(C33:E33)</f>
        <v>100000</v>
      </c>
      <c r="C33" s="582">
        <f>'สงม. 2 รักษาฯ'!D85</f>
        <v>100000</v>
      </c>
      <c r="D33" s="582">
        <f>'สงม. 2 รักษาฯ'!E85</f>
        <v>0</v>
      </c>
      <c r="E33" s="582">
        <f>'สงม. 2 รักษาฯ'!F85</f>
        <v>0</v>
      </c>
    </row>
    <row r="34" spans="1:9" ht="24.95" customHeight="1" x14ac:dyDescent="0.2">
      <c r="A34" s="283" t="s">
        <v>350</v>
      </c>
      <c r="B34" s="581">
        <f t="shared" si="8"/>
        <v>3892200</v>
      </c>
      <c r="C34" s="581">
        <f>C35</f>
        <v>1000800</v>
      </c>
      <c r="D34" s="581">
        <f>SUM(D35:D35)</f>
        <v>2424700</v>
      </c>
      <c r="E34" s="581">
        <f>SUM(E35:E35)</f>
        <v>466700</v>
      </c>
      <c r="I34" s="287"/>
    </row>
    <row r="35" spans="1:9" ht="24.95" customHeight="1" x14ac:dyDescent="0.2">
      <c r="A35" s="296" t="s">
        <v>259</v>
      </c>
      <c r="B35" s="582">
        <f t="shared" si="8"/>
        <v>3892200</v>
      </c>
      <c r="C35" s="582">
        <f>'สงม. 2 รักษาฯ'!D102</f>
        <v>1000800</v>
      </c>
      <c r="D35" s="582">
        <f>'สงม. 2 รักษาฯ'!E102</f>
        <v>2424700</v>
      </c>
      <c r="E35" s="582">
        <f>'สงม. 2 รักษาฯ'!F102</f>
        <v>466700</v>
      </c>
    </row>
    <row r="36" spans="1:9" s="240" customFormat="1" ht="24.95" customHeight="1" x14ac:dyDescent="0.2">
      <c r="A36" s="608" t="s">
        <v>336</v>
      </c>
      <c r="B36" s="609">
        <f>SUM(C36:E36)</f>
        <v>3036400</v>
      </c>
      <c r="C36" s="609">
        <f>C37+C39</f>
        <v>910800</v>
      </c>
      <c r="D36" s="609">
        <f>D37+D39</f>
        <v>1412700</v>
      </c>
      <c r="E36" s="609">
        <f>E37+E39</f>
        <v>712900</v>
      </c>
      <c r="H36" s="610">
        <f>B36</f>
        <v>3036400</v>
      </c>
    </row>
    <row r="37" spans="1:9" ht="24.95" customHeight="1" x14ac:dyDescent="0.2">
      <c r="A37" s="283" t="s">
        <v>351</v>
      </c>
      <c r="B37" s="581">
        <f t="shared" ref="B37:B38" si="9">SUM(C37:E37)</f>
        <v>2884500</v>
      </c>
      <c r="C37" s="581">
        <f>SUM(C38:C38)</f>
        <v>890800</v>
      </c>
      <c r="D37" s="581">
        <f>SUM(D38:D38)</f>
        <v>1324700</v>
      </c>
      <c r="E37" s="581">
        <f>SUM(E38:E38)</f>
        <v>669000</v>
      </c>
      <c r="I37" s="287"/>
    </row>
    <row r="38" spans="1:9" ht="24.95" customHeight="1" x14ac:dyDescent="0.2">
      <c r="A38" s="285" t="s">
        <v>259</v>
      </c>
      <c r="B38" s="582">
        <f t="shared" si="9"/>
        <v>2884500</v>
      </c>
      <c r="C38" s="582">
        <f>'สงม. 2 เทศกิจ'!D11</f>
        <v>890800</v>
      </c>
      <c r="D38" s="582">
        <f>'สงม. 2 เทศกิจ'!E11</f>
        <v>1324700</v>
      </c>
      <c r="E38" s="582">
        <f>'สงม. 2 เทศกิจ'!F11</f>
        <v>669000</v>
      </c>
    </row>
    <row r="39" spans="1:9" ht="24.95" customHeight="1" x14ac:dyDescent="0.2">
      <c r="A39" s="283" t="s">
        <v>384</v>
      </c>
      <c r="B39" s="284">
        <f>SUM(C39:E39)</f>
        <v>151900</v>
      </c>
      <c r="C39" s="284">
        <f>SUM(C40:C40)</f>
        <v>20000</v>
      </c>
      <c r="D39" s="284">
        <f>SUM(D40:D40)</f>
        <v>88000</v>
      </c>
      <c r="E39" s="284">
        <f>SUM(E40:E40)</f>
        <v>43900</v>
      </c>
      <c r="I39" s="287"/>
    </row>
    <row r="40" spans="1:9" ht="24.95" customHeight="1" x14ac:dyDescent="0.2">
      <c r="A40" s="285" t="s">
        <v>259</v>
      </c>
      <c r="B40" s="286">
        <f>SUM(C40:E40)</f>
        <v>151900</v>
      </c>
      <c r="C40" s="286">
        <f>'สงม. 2 เทศกิจ'!D48</f>
        <v>20000</v>
      </c>
      <c r="D40" s="286">
        <f>'สงม. 2 เทศกิจ'!E48</f>
        <v>88000</v>
      </c>
      <c r="E40" s="286">
        <f>'สงม. 2 เทศกิจ'!F48</f>
        <v>43900</v>
      </c>
    </row>
    <row r="41" spans="1:9" ht="24.95" customHeight="1" x14ac:dyDescent="0.2">
      <c r="A41" s="298"/>
      <c r="B41" s="300"/>
      <c r="C41" s="300"/>
      <c r="D41" s="300"/>
      <c r="E41" s="300"/>
    </row>
    <row r="42" spans="1:9" ht="24.95" customHeight="1" x14ac:dyDescent="0.2">
      <c r="A42" s="298"/>
      <c r="B42" s="300"/>
      <c r="C42" s="300"/>
      <c r="D42" s="300"/>
      <c r="E42" s="300"/>
    </row>
    <row r="43" spans="1:9" ht="15" customHeight="1" x14ac:dyDescent="0.2">
      <c r="A43" s="298"/>
      <c r="B43" s="300"/>
      <c r="C43" s="300"/>
      <c r="D43" s="300"/>
      <c r="E43" s="300"/>
    </row>
    <row r="44" spans="1:9" s="240" customFormat="1" ht="24.95" customHeight="1" x14ac:dyDescent="0.2">
      <c r="A44" s="608" t="s">
        <v>336</v>
      </c>
      <c r="B44" s="609">
        <f>SUM(C44:E44)</f>
        <v>25448500</v>
      </c>
      <c r="C44" s="609">
        <f>C45+C47+C49+C51</f>
        <v>21576710</v>
      </c>
      <c r="D44" s="609">
        <f>D45+D47+D49+D51</f>
        <v>3194600</v>
      </c>
      <c r="E44" s="609">
        <f>E45+E47+E49+E51</f>
        <v>677190</v>
      </c>
      <c r="H44" s="610">
        <f>B44</f>
        <v>25448500</v>
      </c>
    </row>
    <row r="45" spans="1:9" ht="24.95" customHeight="1" x14ac:dyDescent="0.2">
      <c r="A45" s="283" t="s">
        <v>352</v>
      </c>
      <c r="B45" s="581">
        <f t="shared" ref="B45:B52" si="10">SUM(C45:E45)</f>
        <v>1318400</v>
      </c>
      <c r="C45" s="581">
        <f>SUM(C46:C46)</f>
        <v>587400</v>
      </c>
      <c r="D45" s="581">
        <f>SUM(D46:D46)</f>
        <v>369600</v>
      </c>
      <c r="E45" s="581">
        <f>SUM(E46:E46)</f>
        <v>361400</v>
      </c>
      <c r="I45" s="287"/>
    </row>
    <row r="46" spans="1:9" ht="24.95" customHeight="1" x14ac:dyDescent="0.2">
      <c r="A46" s="285" t="s">
        <v>259</v>
      </c>
      <c r="B46" s="582">
        <f t="shared" si="10"/>
        <v>1318400</v>
      </c>
      <c r="C46" s="582">
        <f>'สงม. 2 โยธา'!D11</f>
        <v>587400</v>
      </c>
      <c r="D46" s="582">
        <f>'สงม. 2 โยธา'!E11</f>
        <v>369600</v>
      </c>
      <c r="E46" s="582">
        <f>'สงม. 2 โยธา'!F11</f>
        <v>361400</v>
      </c>
    </row>
    <row r="47" spans="1:9" ht="24.95" customHeight="1" x14ac:dyDescent="0.2">
      <c r="A47" s="283" t="s">
        <v>353</v>
      </c>
      <c r="B47" s="581">
        <f t="shared" si="10"/>
        <v>450000</v>
      </c>
      <c r="C47" s="581">
        <f>SUM(C48:C48)</f>
        <v>450000</v>
      </c>
      <c r="D47" s="581">
        <f>SUM(D48:D48)</f>
        <v>0</v>
      </c>
      <c r="E47" s="581">
        <f>SUM(E48:E48)</f>
        <v>0</v>
      </c>
      <c r="I47" s="287"/>
    </row>
    <row r="48" spans="1:9" ht="24.95" customHeight="1" x14ac:dyDescent="0.2">
      <c r="A48" s="285" t="s">
        <v>259</v>
      </c>
      <c r="B48" s="582">
        <f t="shared" si="10"/>
        <v>450000</v>
      </c>
      <c r="C48" s="582">
        <f>'สงม. 2 โยธา'!D41</f>
        <v>450000</v>
      </c>
      <c r="D48" s="582">
        <f>'สงม. 2 โยธา'!E41</f>
        <v>0</v>
      </c>
      <c r="E48" s="582">
        <f>'สงม. 2 โยธา'!F41</f>
        <v>0</v>
      </c>
    </row>
    <row r="49" spans="1:10" ht="24.95" customHeight="1" x14ac:dyDescent="0.2">
      <c r="A49" s="283" t="s">
        <v>354</v>
      </c>
      <c r="B49" s="581">
        <f t="shared" si="10"/>
        <v>19000000</v>
      </c>
      <c r="C49" s="581">
        <f>SUM(C50:C50)</f>
        <v>16500000</v>
      </c>
      <c r="D49" s="581">
        <f>SUM(D50:D50)</f>
        <v>2500000</v>
      </c>
      <c r="E49" s="581">
        <f>SUM(E50:E50)</f>
        <v>0</v>
      </c>
      <c r="I49" s="287"/>
    </row>
    <row r="50" spans="1:10" ht="24.95" customHeight="1" x14ac:dyDescent="0.2">
      <c r="A50" s="285" t="s">
        <v>259</v>
      </c>
      <c r="B50" s="582">
        <f t="shared" si="10"/>
        <v>19000000</v>
      </c>
      <c r="C50" s="582">
        <f>'สงม. 2 โยธา'!D66</f>
        <v>16500000</v>
      </c>
      <c r="D50" s="582">
        <f>'สงม. 2 โยธา'!E66</f>
        <v>2500000</v>
      </c>
      <c r="E50" s="582">
        <f>'สงม. 2 โยธา'!F66</f>
        <v>0</v>
      </c>
    </row>
    <row r="51" spans="1:10" ht="24.95" customHeight="1" x14ac:dyDescent="0.2">
      <c r="A51" s="283" t="s">
        <v>355</v>
      </c>
      <c r="B51" s="581">
        <f t="shared" si="10"/>
        <v>4680100</v>
      </c>
      <c r="C51" s="581">
        <f>SUM(C52:C52)</f>
        <v>4039310</v>
      </c>
      <c r="D51" s="581">
        <f t="shared" ref="D51" si="11">SUM(D52:D52)</f>
        <v>325000</v>
      </c>
      <c r="E51" s="581">
        <f>SUM(E52:E52)</f>
        <v>315790</v>
      </c>
    </row>
    <row r="52" spans="1:10" ht="24.95" customHeight="1" x14ac:dyDescent="0.2">
      <c r="A52" s="285" t="s">
        <v>259</v>
      </c>
      <c r="B52" s="578">
        <f t="shared" si="10"/>
        <v>4680100</v>
      </c>
      <c r="C52" s="578">
        <f>'สงม. 2 โยธา'!D92</f>
        <v>4039310</v>
      </c>
      <c r="D52" s="578">
        <f>'สงม. 2 โยธา'!E92</f>
        <v>325000</v>
      </c>
      <c r="E52" s="578">
        <f>'สงม. 2 โยธา'!F92</f>
        <v>315790</v>
      </c>
      <c r="I52" s="287"/>
    </row>
    <row r="53" spans="1:10" s="240" customFormat="1" ht="24.95" customHeight="1" x14ac:dyDescent="0.2">
      <c r="A53" s="608" t="s">
        <v>336</v>
      </c>
      <c r="B53" s="609">
        <f>SUM(C53:E53)</f>
        <v>35145300</v>
      </c>
      <c r="C53" s="609">
        <f>C54+C56</f>
        <v>12488800</v>
      </c>
      <c r="D53" s="609">
        <f>D54+D56</f>
        <v>11505700</v>
      </c>
      <c r="E53" s="609">
        <f>E54+E56</f>
        <v>11150800</v>
      </c>
      <c r="G53" s="337">
        <f>B53-30351400</f>
        <v>4793900</v>
      </c>
      <c r="H53" s="610">
        <f>B53</f>
        <v>35145300</v>
      </c>
    </row>
    <row r="54" spans="1:10" ht="24.95" customHeight="1" x14ac:dyDescent="0.2">
      <c r="A54" s="283" t="s">
        <v>356</v>
      </c>
      <c r="B54" s="581">
        <f t="shared" ref="B54:B58" si="12">SUM(C54:E54)</f>
        <v>19238300</v>
      </c>
      <c r="C54" s="581">
        <f>SUM(C55:C55)</f>
        <v>7163900</v>
      </c>
      <c r="D54" s="581">
        <f>SUM(D55:D55)</f>
        <v>6060600</v>
      </c>
      <c r="E54" s="581">
        <f>SUM(E55:E55)</f>
        <v>6013800</v>
      </c>
    </row>
    <row r="55" spans="1:10" ht="24.95" customHeight="1" x14ac:dyDescent="0.2">
      <c r="A55" s="285" t="s">
        <v>259</v>
      </c>
      <c r="B55" s="582">
        <f t="shared" si="12"/>
        <v>19238300</v>
      </c>
      <c r="C55" s="582">
        <f>'สงม. 2 พัฒนาชุมชน'!D11</f>
        <v>7163900</v>
      </c>
      <c r="D55" s="582">
        <f>'สงม. 2 พัฒนาชุมชน'!E11</f>
        <v>6060600</v>
      </c>
      <c r="E55" s="582">
        <f>'สงม. 2 พัฒนาชุมชน'!F11</f>
        <v>6013800</v>
      </c>
      <c r="I55" s="287"/>
    </row>
    <row r="56" spans="1:10" ht="24.95" customHeight="1" x14ac:dyDescent="0.2">
      <c r="A56" s="283" t="s">
        <v>357</v>
      </c>
      <c r="B56" s="581">
        <f t="shared" si="12"/>
        <v>15907000</v>
      </c>
      <c r="C56" s="581">
        <f>SUM(C57:C58)</f>
        <v>5324900</v>
      </c>
      <c r="D56" s="581">
        <f t="shared" ref="D56" si="13">SUM(D57:D58)</f>
        <v>5445100</v>
      </c>
      <c r="E56" s="581">
        <f>SUM(E57:E58)</f>
        <v>5137000</v>
      </c>
      <c r="I56" s="287"/>
    </row>
    <row r="57" spans="1:10" ht="24.95" customHeight="1" x14ac:dyDescent="0.2">
      <c r="A57" s="285" t="s">
        <v>259</v>
      </c>
      <c r="B57" s="582">
        <f t="shared" si="12"/>
        <v>5327900</v>
      </c>
      <c r="C57" s="582">
        <f>'สงม. 2 พัฒนาชุมชน'!D62</f>
        <v>1786000</v>
      </c>
      <c r="D57" s="582">
        <f>'สงม. 2 พัฒนาชุมชน'!E62</f>
        <v>1786000</v>
      </c>
      <c r="E57" s="582">
        <f>'สงม. 2 พัฒนาชุมชน'!F62</f>
        <v>1755900</v>
      </c>
    </row>
    <row r="58" spans="1:10" ht="24.95" customHeight="1" x14ac:dyDescent="0.2">
      <c r="A58" s="285" t="s">
        <v>330</v>
      </c>
      <c r="B58" s="582">
        <f t="shared" si="12"/>
        <v>10579100</v>
      </c>
      <c r="C58" s="582">
        <f>'สงม. 2 พัฒนาชุมชน'!D70</f>
        <v>3538900</v>
      </c>
      <c r="D58" s="582">
        <f>'สงม. 2 พัฒนาชุมชน'!E70</f>
        <v>3659100</v>
      </c>
      <c r="E58" s="582">
        <f>'สงม. 2 พัฒนาชุมชน'!F70</f>
        <v>3381100</v>
      </c>
      <c r="G58" s="287" t="e">
        <f>B58+#REF!</f>
        <v>#REF!</v>
      </c>
    </row>
    <row r="59" spans="1:10" s="240" customFormat="1" ht="24.95" customHeight="1" x14ac:dyDescent="0.2">
      <c r="A59" s="608" t="s">
        <v>336</v>
      </c>
      <c r="B59" s="609">
        <f>SUM(C59:E59)</f>
        <v>1337400</v>
      </c>
      <c r="C59" s="609">
        <f>C60+C63+C66</f>
        <v>1032320</v>
      </c>
      <c r="D59" s="609">
        <f>D60+D63+D66</f>
        <v>153860</v>
      </c>
      <c r="E59" s="609">
        <f>E60+E63+E66</f>
        <v>151220</v>
      </c>
      <c r="H59" s="610">
        <f>B59</f>
        <v>1337400</v>
      </c>
    </row>
    <row r="60" spans="1:10" ht="24.95" customHeight="1" x14ac:dyDescent="0.2">
      <c r="A60" s="283" t="s">
        <v>358</v>
      </c>
      <c r="B60" s="581">
        <f>SUM(C60:E60)</f>
        <v>419000</v>
      </c>
      <c r="C60" s="581">
        <f>SUM(C61:C61)</f>
        <v>369000</v>
      </c>
      <c r="D60" s="581">
        <f>SUM(D61:D61)</f>
        <v>0</v>
      </c>
      <c r="E60" s="581">
        <f>SUM(E61:E61)</f>
        <v>50000</v>
      </c>
      <c r="I60" s="287"/>
    </row>
    <row r="61" spans="1:10" ht="24.95" customHeight="1" x14ac:dyDescent="0.2">
      <c r="A61" s="285" t="s">
        <v>259</v>
      </c>
      <c r="B61" s="582">
        <f>SUM(C61:E61)</f>
        <v>419000</v>
      </c>
      <c r="C61" s="582">
        <f>'สงม. 2 สวล.'!D11</f>
        <v>369000</v>
      </c>
      <c r="D61" s="582">
        <f>'สงม. 2 สวล.'!E11</f>
        <v>0</v>
      </c>
      <c r="E61" s="582">
        <f>'สงม. 2 สวล.'!F11</f>
        <v>50000</v>
      </c>
    </row>
    <row r="62" spans="1:10" ht="7.5" customHeight="1" x14ac:dyDescent="0.2">
      <c r="H62" s="219"/>
    </row>
    <row r="63" spans="1:10" ht="24.95" customHeight="1" x14ac:dyDescent="0.2">
      <c r="A63" s="283" t="s">
        <v>359</v>
      </c>
      <c r="B63" s="581">
        <f t="shared" ref="B63:B67" si="14">SUM(C63:E63)</f>
        <v>336500</v>
      </c>
      <c r="C63" s="581">
        <f>SUM(C64:C65)</f>
        <v>274700</v>
      </c>
      <c r="D63" s="581">
        <f>SUM(D64:D65)</f>
        <v>42900</v>
      </c>
      <c r="E63" s="581">
        <f>SUM(E64:E65)</f>
        <v>18900</v>
      </c>
      <c r="I63" s="287"/>
    </row>
    <row r="64" spans="1:10" ht="24.95" customHeight="1" x14ac:dyDescent="0.2">
      <c r="A64" s="285" t="s">
        <v>259</v>
      </c>
      <c r="B64" s="582">
        <f t="shared" si="14"/>
        <v>255600</v>
      </c>
      <c r="C64" s="582">
        <f>'สงม. 2 สวล.'!D39</f>
        <v>230500</v>
      </c>
      <c r="D64" s="582">
        <f>'สงม. 2 สวล.'!E39</f>
        <v>14500</v>
      </c>
      <c r="E64" s="582">
        <f>'สงม. 2 สวล.'!F39</f>
        <v>10600</v>
      </c>
      <c r="G64" s="287" t="e">
        <f>B64+#REF!</f>
        <v>#REF!</v>
      </c>
      <c r="J64" s="606" t="s">
        <v>396</v>
      </c>
    </row>
    <row r="65" spans="1:10" ht="24.95" customHeight="1" x14ac:dyDescent="0.2">
      <c r="A65" s="285" t="s">
        <v>330</v>
      </c>
      <c r="B65" s="582">
        <f t="shared" ref="B65" si="15">SUM(C65:E65)</f>
        <v>80900</v>
      </c>
      <c r="C65" s="582">
        <f>'สงม. 2 สวล.'!D46</f>
        <v>44200</v>
      </c>
      <c r="D65" s="582">
        <f>'สงม. 2 สวล.'!E46</f>
        <v>28400</v>
      </c>
      <c r="E65" s="582">
        <f>'สงม. 2 สวล.'!F46</f>
        <v>8300</v>
      </c>
      <c r="G65" s="287" t="e">
        <f>B65+#REF!</f>
        <v>#REF!</v>
      </c>
      <c r="J65" s="607" t="s">
        <v>397</v>
      </c>
    </row>
    <row r="66" spans="1:10" ht="24.95" customHeight="1" x14ac:dyDescent="0.2">
      <c r="A66" s="283" t="s">
        <v>360</v>
      </c>
      <c r="B66" s="581">
        <f>SUM(C66:E66)</f>
        <v>581900</v>
      </c>
      <c r="C66" s="581">
        <f>SUM(C67:C68)</f>
        <v>388620</v>
      </c>
      <c r="D66" s="581">
        <f t="shared" ref="D66:E66" si="16">SUM(D67:D68)</f>
        <v>110960</v>
      </c>
      <c r="E66" s="581">
        <f t="shared" si="16"/>
        <v>82320</v>
      </c>
      <c r="I66" s="287"/>
    </row>
    <row r="67" spans="1:10" ht="24.95" customHeight="1" x14ac:dyDescent="0.2">
      <c r="A67" s="285" t="s">
        <v>259</v>
      </c>
      <c r="B67" s="582">
        <f t="shared" si="14"/>
        <v>306300</v>
      </c>
      <c r="C67" s="582">
        <f>'สงม. 2 สวล.'!D66</f>
        <v>306300</v>
      </c>
      <c r="D67" s="582">
        <f>'สงม. 2 สวล.'!E66</f>
        <v>0</v>
      </c>
      <c r="E67" s="582">
        <f>'สงม. 2 สวล.'!F66</f>
        <v>0</v>
      </c>
    </row>
    <row r="68" spans="1:10" ht="24.95" customHeight="1" x14ac:dyDescent="0.2">
      <c r="A68" s="285" t="s">
        <v>330</v>
      </c>
      <c r="B68" s="582">
        <f t="shared" ref="B68" si="17">SUM(C68:E68)</f>
        <v>275600</v>
      </c>
      <c r="C68" s="582">
        <f>'สงม. 2 สวล.'!D77</f>
        <v>82320</v>
      </c>
      <c r="D68" s="582">
        <f>'สงม. 2 สวล.'!E77</f>
        <v>110960</v>
      </c>
      <c r="E68" s="582">
        <f>'สงม. 2 สวล.'!F77</f>
        <v>82320</v>
      </c>
      <c r="G68" s="287" t="e">
        <f>B68+#REF!</f>
        <v>#REF!</v>
      </c>
      <c r="J68" s="607" t="s">
        <v>397</v>
      </c>
    </row>
    <row r="69" spans="1:10" s="240" customFormat="1" ht="24.95" customHeight="1" x14ac:dyDescent="0.2">
      <c r="A69" s="608" t="s">
        <v>336</v>
      </c>
      <c r="B69" s="609">
        <f>SUM(C69:E69)</f>
        <v>117694800</v>
      </c>
      <c r="C69" s="609">
        <f>C70+C73</f>
        <v>59464200</v>
      </c>
      <c r="D69" s="609">
        <f>D70+D73</f>
        <v>43665600</v>
      </c>
      <c r="E69" s="609">
        <f>E70+E73</f>
        <v>14565000</v>
      </c>
      <c r="F69" s="219"/>
      <c r="H69" s="577"/>
      <c r="I69" s="337"/>
    </row>
    <row r="70" spans="1:10" ht="24.95" customHeight="1" x14ac:dyDescent="0.2">
      <c r="A70" s="283" t="s">
        <v>361</v>
      </c>
      <c r="B70" s="581">
        <f>SUM(C70:E70)</f>
        <v>22184300</v>
      </c>
      <c r="C70" s="581">
        <f>SUM(C71:C72)</f>
        <v>21057300</v>
      </c>
      <c r="D70" s="581">
        <f t="shared" ref="D70:E70" si="18">SUM(D71:D72)</f>
        <v>1027000</v>
      </c>
      <c r="E70" s="581">
        <f t="shared" si="18"/>
        <v>100000</v>
      </c>
      <c r="I70" s="287"/>
    </row>
    <row r="71" spans="1:10" ht="24.95" customHeight="1" x14ac:dyDescent="0.2">
      <c r="A71" s="285" t="s">
        <v>259</v>
      </c>
      <c r="B71" s="582">
        <f>SUM(C71:E71)</f>
        <v>22055100</v>
      </c>
      <c r="C71" s="582">
        <f>'สงม. 2 ศึกษา'!D11</f>
        <v>21057300</v>
      </c>
      <c r="D71" s="582">
        <f>'สงม. 2 ศึกษา'!E11</f>
        <v>897800</v>
      </c>
      <c r="E71" s="582">
        <f>'สงม. 2 ศึกษา'!F11</f>
        <v>100000</v>
      </c>
    </row>
    <row r="72" spans="1:10" ht="24.95" customHeight="1" x14ac:dyDescent="0.2">
      <c r="A72" s="285" t="s">
        <v>330</v>
      </c>
      <c r="B72" s="582">
        <f t="shared" ref="B72" si="19">SUM(C72:E72)</f>
        <v>129200</v>
      </c>
      <c r="C72" s="582"/>
      <c r="D72" s="582">
        <f>'สงม. 2 ศึกษา'!E34</f>
        <v>129200</v>
      </c>
      <c r="E72" s="582">
        <f>'สงม. 2 ศึกษา'!F34</f>
        <v>0</v>
      </c>
      <c r="G72" s="287" t="e">
        <f>B72+#REF!</f>
        <v>#REF!</v>
      </c>
      <c r="J72" s="607" t="s">
        <v>397</v>
      </c>
    </row>
    <row r="73" spans="1:10" ht="24.95" customHeight="1" x14ac:dyDescent="0.2">
      <c r="A73" s="283" t="s">
        <v>362</v>
      </c>
      <c r="B73" s="581">
        <f t="shared" ref="B73:B76" si="20">SUM(C73:E73)</f>
        <v>95510500</v>
      </c>
      <c r="C73" s="581">
        <f>SUM(C74:C76)</f>
        <v>38406900</v>
      </c>
      <c r="D73" s="581">
        <f t="shared" ref="D73" si="21">SUM(D74:D76)</f>
        <v>42638600</v>
      </c>
      <c r="E73" s="581">
        <f>SUM(E74:E76)</f>
        <v>14465000</v>
      </c>
    </row>
    <row r="74" spans="1:10" ht="24.95" customHeight="1" x14ac:dyDescent="0.2">
      <c r="A74" s="285" t="s">
        <v>259</v>
      </c>
      <c r="B74" s="582">
        <f t="shared" si="20"/>
        <v>40659500</v>
      </c>
      <c r="C74" s="582">
        <f>'สงม. 2 ศึกษา'!D65</f>
        <v>8099300</v>
      </c>
      <c r="D74" s="582">
        <f>'สงม. 2 ศึกษา'!E65</f>
        <v>24484200</v>
      </c>
      <c r="E74" s="582">
        <f>'สงม. 2 ศึกษา'!F65</f>
        <v>8076000</v>
      </c>
      <c r="I74" s="287"/>
    </row>
    <row r="75" spans="1:10" ht="24.95" customHeight="1" x14ac:dyDescent="0.2">
      <c r="A75" s="285" t="s">
        <v>332</v>
      </c>
      <c r="B75" s="582">
        <f t="shared" si="20"/>
        <v>48810000</v>
      </c>
      <c r="C75" s="582">
        <f>'สงม. 2 ศึกษา'!D87</f>
        <v>29421000</v>
      </c>
      <c r="D75" s="582">
        <f>'สงม. 2 ศึกษา'!E87</f>
        <v>13000000</v>
      </c>
      <c r="E75" s="582">
        <f>'สงม. 2 ศึกษา'!F87</f>
        <v>6389000</v>
      </c>
      <c r="G75" s="287">
        <f>G76-G79</f>
        <v>218321700</v>
      </c>
      <c r="I75" s="287"/>
      <c r="J75" s="287"/>
    </row>
    <row r="76" spans="1:10" ht="24.95" customHeight="1" x14ac:dyDescent="0.2">
      <c r="A76" s="285" t="s">
        <v>53</v>
      </c>
      <c r="B76" s="582">
        <f t="shared" si="20"/>
        <v>6041000</v>
      </c>
      <c r="C76" s="582">
        <f>'สงม. 2 ศึกษา'!D91</f>
        <v>886600</v>
      </c>
      <c r="D76" s="582">
        <f>'สงม. 2 ศึกษา'!E91</f>
        <v>5154400</v>
      </c>
      <c r="E76" s="582">
        <f>'สงม. 2 ศึกษา'!F91</f>
        <v>0</v>
      </c>
      <c r="G76" s="287">
        <f>B76+B77</f>
        <v>224362700</v>
      </c>
    </row>
    <row r="77" spans="1:10" ht="24.95" customHeight="1" thickBot="1" x14ac:dyDescent="0.25">
      <c r="A77" s="629" t="s">
        <v>363</v>
      </c>
      <c r="B77" s="630">
        <f>SUM(B78:B78)</f>
        <v>218321700</v>
      </c>
      <c r="C77" s="630">
        <f>SUM(C78:C78)</f>
        <v>113633740</v>
      </c>
      <c r="D77" s="630">
        <f>SUM(D78:D78)</f>
        <v>72581880</v>
      </c>
      <c r="E77" s="630">
        <f>SUM(E78:E78)</f>
        <v>32106080</v>
      </c>
      <c r="G77" s="287">
        <f>C73+C77</f>
        <v>152040640</v>
      </c>
      <c r="H77" s="517">
        <f>B69+B77</f>
        <v>336016500</v>
      </c>
    </row>
    <row r="78" spans="1:10" ht="24.95" customHeight="1" thickTop="1" thickBot="1" x14ac:dyDescent="0.25">
      <c r="A78" s="631" t="s">
        <v>364</v>
      </c>
      <c r="B78" s="632">
        <f>SUM(C78:E78)</f>
        <v>218321700</v>
      </c>
      <c r="C78" s="632">
        <f>C8+C16+C19+C22+C26+C36+C44+C53+C59+C69</f>
        <v>113633740</v>
      </c>
      <c r="D78" s="632">
        <f>D8+D16+D19+D22+D26+D36+D44+D53+D59+D69</f>
        <v>72581880</v>
      </c>
      <c r="E78" s="632">
        <f>E8+E16+E19+E22+E26+E36+E44+E53+E59+E69</f>
        <v>32106080</v>
      </c>
      <c r="G78" s="287"/>
      <c r="H78" s="517"/>
    </row>
    <row r="79" spans="1:10" ht="24.95" customHeight="1" thickTop="1" x14ac:dyDescent="0.2">
      <c r="B79" s="287"/>
      <c r="C79" s="287"/>
      <c r="D79" s="287"/>
      <c r="E79" s="287"/>
      <c r="G79" s="321">
        <f>'สงม. 2 ศึกษา'!C91</f>
        <v>6041000</v>
      </c>
      <c r="H79" s="579">
        <f>'สงม. 2 ศึกษา'!D91</f>
        <v>886600</v>
      </c>
    </row>
    <row r="80" spans="1:10" ht="24.95" customHeight="1" x14ac:dyDescent="0.2">
      <c r="B80" s="287"/>
      <c r="C80" s="287"/>
      <c r="D80" s="287"/>
      <c r="E80" s="287"/>
      <c r="G80" s="321"/>
      <c r="H80" s="579"/>
    </row>
    <row r="81" spans="1:11" ht="24.95" customHeight="1" x14ac:dyDescent="0.2">
      <c r="B81" s="287"/>
      <c r="C81" s="642" t="s">
        <v>426</v>
      </c>
      <c r="D81" s="642" t="s">
        <v>410</v>
      </c>
      <c r="E81" s="642" t="s">
        <v>427</v>
      </c>
      <c r="G81" s="321"/>
      <c r="H81" s="579"/>
      <c r="I81" s="287"/>
    </row>
    <row r="82" spans="1:11" ht="24.95" customHeight="1" x14ac:dyDescent="0.2">
      <c r="B82" s="287" t="s">
        <v>425</v>
      </c>
      <c r="C82" s="287">
        <f>C10</f>
        <v>4217900</v>
      </c>
      <c r="D82" s="287">
        <f>D10</f>
        <v>0</v>
      </c>
      <c r="E82" s="287">
        <f>E10</f>
        <v>0</v>
      </c>
      <c r="G82" s="321"/>
      <c r="H82" s="579"/>
      <c r="I82" s="287"/>
    </row>
    <row r="83" spans="1:11" ht="24.95" customHeight="1" x14ac:dyDescent="0.2">
      <c r="A83" s="317">
        <f>SUM(C83:E83)</f>
        <v>147564400</v>
      </c>
      <c r="B83" s="317" t="s">
        <v>407</v>
      </c>
      <c r="C83" s="287">
        <f>C12+C14+C18+C21+C24+C28+C30+C32+C35+C38+C40+C46+C48+C50+C52+C55+C57+C61+C64+C67+C71+C74</f>
        <v>74999620</v>
      </c>
      <c r="D83" s="287">
        <f>D12+D14+D18+D21+D24+D28+D30+D32+D35+D38+D40+D46+D48+D50+D52+D55+D57+D61+D64+D67+D71+D74</f>
        <v>50380420</v>
      </c>
      <c r="E83" s="287">
        <f>E12+E14+E18+E21+E24+E28+E30+E32+E35+E38+E40+E46+E48+E50+E52+E55+E57+E61+E64+E67+E71+E74</f>
        <v>22184360</v>
      </c>
      <c r="G83" s="321"/>
      <c r="H83" s="579"/>
      <c r="I83" s="287">
        <f>D83/4</f>
        <v>12595105</v>
      </c>
      <c r="J83" s="287">
        <f>E12+E14+E18+E21+E24+E28+E30+E32+E35+E38+E40+E46+E48+E50+E52+E55+E57+E61+E64+E67+E71+E74</f>
        <v>22184360</v>
      </c>
      <c r="K83" s="287">
        <f>J83/4</f>
        <v>5546090</v>
      </c>
    </row>
    <row r="84" spans="1:11" ht="24.95" customHeight="1" x14ac:dyDescent="0.2">
      <c r="A84" s="317">
        <f t="shared" ref="A84" si="22">SUM(C84:E84)</f>
        <v>45671000</v>
      </c>
      <c r="B84" s="317" t="s">
        <v>408</v>
      </c>
      <c r="C84" s="287">
        <f>C75</f>
        <v>29421000</v>
      </c>
      <c r="D84" s="287">
        <f>D75</f>
        <v>13000000</v>
      </c>
      <c r="E84" s="287">
        <f>D84/4</f>
        <v>3250000</v>
      </c>
      <c r="G84" s="321"/>
      <c r="H84" s="579"/>
      <c r="I84" s="287">
        <f t="shared" ref="I84:I85" si="23">D84/4</f>
        <v>3250000</v>
      </c>
      <c r="J84" s="287">
        <f>E75</f>
        <v>6389000</v>
      </c>
      <c r="K84" s="287">
        <f t="shared" ref="K84" si="24">J84/4</f>
        <v>1597250</v>
      </c>
    </row>
    <row r="85" spans="1:11" ht="24.95" customHeight="1" x14ac:dyDescent="0.2">
      <c r="A85" s="317">
        <f>SUM(C85:E85)</f>
        <v>17729400</v>
      </c>
      <c r="B85" s="317" t="s">
        <v>409</v>
      </c>
      <c r="C85" s="287">
        <f>C15+C33+C58+C65+C68+C76+C72</f>
        <v>4995220</v>
      </c>
      <c r="D85" s="287">
        <f t="shared" ref="D85:E85" si="25">D15+D33+D58+D65+D68+D76+D72</f>
        <v>9201460</v>
      </c>
      <c r="E85" s="287">
        <f t="shared" si="25"/>
        <v>3532720</v>
      </c>
      <c r="G85" s="321"/>
      <c r="H85" s="579"/>
      <c r="I85" s="287">
        <f t="shared" si="23"/>
        <v>2300365</v>
      </c>
      <c r="J85" s="287"/>
      <c r="K85" s="287"/>
    </row>
    <row r="86" spans="1:11" s="647" customFormat="1" ht="24.95" customHeight="1" thickBot="1" x14ac:dyDescent="0.25">
      <c r="B86" s="648" t="s">
        <v>6</v>
      </c>
      <c r="C86" s="649">
        <f>SUM(C82:C85)</f>
        <v>113633740</v>
      </c>
      <c r="D86" s="649">
        <f t="shared" ref="D86:E86" si="26">SUM(D82:D85)</f>
        <v>72581880</v>
      </c>
      <c r="E86" s="649">
        <f t="shared" si="26"/>
        <v>28967080</v>
      </c>
      <c r="G86" s="650"/>
      <c r="H86" s="651"/>
      <c r="J86" s="437"/>
    </row>
    <row r="87" spans="1:11" ht="24.95" customHeight="1" thickTop="1" x14ac:dyDescent="0.2">
      <c r="A87" s="287">
        <f>A85-17729400</f>
        <v>0</v>
      </c>
      <c r="B87" s="287"/>
      <c r="C87" s="287"/>
      <c r="D87" s="287"/>
      <c r="E87" s="287"/>
      <c r="G87" s="321"/>
      <c r="H87" s="579"/>
      <c r="J87" s="287"/>
    </row>
    <row r="88" spans="1:11" ht="24.95" customHeight="1" x14ac:dyDescent="0.2">
      <c r="B88" s="287"/>
      <c r="C88" s="287">
        <f>C83/4</f>
        <v>18749905</v>
      </c>
      <c r="D88" s="287">
        <f>D83/4</f>
        <v>12595105</v>
      </c>
      <c r="E88" s="287">
        <f>E83/4</f>
        <v>5546090</v>
      </c>
      <c r="G88" s="321"/>
      <c r="H88" s="579"/>
    </row>
    <row r="89" spans="1:11" ht="24.95" customHeight="1" x14ac:dyDescent="0.2">
      <c r="B89" s="287"/>
      <c r="C89" s="287">
        <f t="shared" ref="C89" si="27">C84/4</f>
        <v>7355250</v>
      </c>
      <c r="D89" s="287">
        <f t="shared" ref="D89:E90" si="28">D84/4</f>
        <v>3250000</v>
      </c>
      <c r="E89" s="287">
        <f t="shared" si="28"/>
        <v>812500</v>
      </c>
      <c r="G89" s="321"/>
      <c r="H89" s="579"/>
    </row>
    <row r="90" spans="1:11" ht="24.95" customHeight="1" x14ac:dyDescent="0.2">
      <c r="B90" s="287"/>
      <c r="C90" s="287">
        <f t="shared" ref="C90" si="29">C85/4</f>
        <v>1248805</v>
      </c>
      <c r="D90" s="287">
        <f t="shared" si="28"/>
        <v>2300365</v>
      </c>
      <c r="E90" s="287">
        <f t="shared" si="28"/>
        <v>883180</v>
      </c>
      <c r="G90" s="321"/>
      <c r="H90" s="579"/>
    </row>
    <row r="91" spans="1:11" ht="24.95" customHeight="1" x14ac:dyDescent="0.2">
      <c r="A91" s="192" t="s">
        <v>406</v>
      </c>
      <c r="B91" s="287">
        <f>โครงยุทธศาสตร์!C7</f>
        <v>0</v>
      </c>
      <c r="C91" s="287">
        <f>โครงยุทธศาสตร์!D7</f>
        <v>0</v>
      </c>
      <c r="D91" s="287">
        <f>โครงยุทธศาสตร์!E7</f>
        <v>0</v>
      </c>
      <c r="E91" s="287">
        <f>โครงยุทธศาสตร์!F7</f>
        <v>0</v>
      </c>
      <c r="G91" s="321"/>
      <c r="H91" s="579"/>
    </row>
    <row r="92" spans="1:11" ht="24.95" customHeight="1" x14ac:dyDescent="0.2">
      <c r="A92" s="192" t="s">
        <v>406</v>
      </c>
      <c r="B92" s="287">
        <f>'สงม. 2 (งบบุคลากร)'!C7+'สงม. 2 ปกครอง'!C7+'สงม. 2 ปกครอง'!C38+'สงม. 2 ทะเบียน'!C7+'สงม. 2 คลัง'!C7+'สงม. 2 รายได้'!C7+'สงม. 2 รักษาฯ'!C7+'สงม. 2 รักษาฯ'!C35+'สงม. 2 เทศกิจ'!C7+'สงม. 2 เทศกิจ'!C35+'สงม. 2 โยธา'!C7+'สงม. 2 โยธา'!C37+'สงม. 2 โยธา'!C64+'สงม. 2 โยธา'!C88+'สงม. 2 พัฒนาชุมชน'!C7+'สงม. 2 พัฒนาชุมชน'!C58+'สงม. 2 สวล.'!C7+'สงม. 2 สวล.'!C35+'สงม. 2 สวล.'!C62+'สงม. 2 ศึกษา'!C7+'สงม. 2 ศึกษา'!C61+'สงม. 2 รักษาฯ'!C64+'สงม. 2 รักษาฯ'!C98</f>
        <v>218321700</v>
      </c>
      <c r="C92" s="287">
        <f>'สงม. 2 (งบบุคลากร)'!D7+'สงม. 2 ปกครอง'!D7+'สงม. 2 ปกครอง'!D38+'สงม. 2 ทะเบียน'!D7+'สงม. 2 คลัง'!D7+'สงม. 2 รายได้'!D7+'สงม. 2 รักษาฯ'!D7+'สงม. 2 รักษาฯ'!D35+'สงม. 2 เทศกิจ'!D7+'สงม. 2 เทศกิจ'!D35+'สงม. 2 โยธา'!D7+'สงม. 2 โยธา'!D37+'สงม. 2 โยธา'!D64+'สงม. 2 โยธา'!D88+'สงม. 2 พัฒนาชุมชน'!D7+'สงม. 2 พัฒนาชุมชน'!D58+'สงม. 2 สวล.'!D7+'สงม. 2 สวล.'!D35+'สงม. 2 สวล.'!D62+'สงม. 2 ศึกษา'!D7+'สงม. 2 ศึกษา'!D61+'สงม. 2 รักษาฯ'!D64+'สงม. 2 รักษาฯ'!D98</f>
        <v>113633740</v>
      </c>
      <c r="D92" s="287">
        <f>'สงม. 2 (งบบุคลากร)'!E7+'สงม. 2 ปกครอง'!E7+'สงม. 2 ปกครอง'!E38+'สงม. 2 ทะเบียน'!E7+'สงม. 2 คลัง'!E7+'สงม. 2 รายได้'!E7+'สงม. 2 รักษาฯ'!E7+'สงม. 2 รักษาฯ'!E35+'สงม. 2 เทศกิจ'!E7+'สงม. 2 เทศกิจ'!E35+'สงม. 2 โยธา'!E7+'สงม. 2 โยธา'!E37+'สงม. 2 โยธา'!E64+'สงม. 2 โยธา'!E88+'สงม. 2 พัฒนาชุมชน'!E7+'สงม. 2 พัฒนาชุมชน'!E58+'สงม. 2 สวล.'!E7+'สงม. 2 สวล.'!E35+'สงม. 2 สวล.'!E62+'สงม. 2 ศึกษา'!E7+'สงม. 2 ศึกษา'!E61+'สงม. 2 รักษาฯ'!E64+'สงม. 2 รักษาฯ'!E98</f>
        <v>72581880</v>
      </c>
      <c r="E92" s="287">
        <f>'สงม. 2 (งบบุคลากร)'!F7+'สงม. 2 ปกครอง'!F7+'สงม. 2 ปกครอง'!F38+'สงม. 2 ทะเบียน'!F7+'สงม. 2 คลัง'!F7+'สงม. 2 รายได้'!F7+'สงม. 2 รักษาฯ'!F7+'สงม. 2 รักษาฯ'!F35+'สงม. 2 เทศกิจ'!F7+'สงม. 2 เทศกิจ'!F35+'สงม. 2 โยธา'!F7+'สงม. 2 โยธา'!F37+'สงม. 2 โยธา'!F64+'สงม. 2 โยธา'!F88+'สงม. 2 พัฒนาชุมชน'!F7+'สงม. 2 พัฒนาชุมชน'!F58+'สงม. 2 สวล.'!F7+'สงม. 2 สวล.'!F35+'สงม. 2 สวล.'!F62+'สงม. 2 ศึกษา'!F7+'สงม. 2 ศึกษา'!F61+'สงม. 2 รักษาฯ'!F64+'สงม. 2 รักษาฯ'!F98</f>
        <v>32106080</v>
      </c>
      <c r="G92" s="321"/>
      <c r="H92" s="579"/>
    </row>
    <row r="93" spans="1:11" ht="24.95" customHeight="1" x14ac:dyDescent="0.2">
      <c r="A93" s="192" t="s">
        <v>6</v>
      </c>
      <c r="B93" s="287">
        <f>SUM(B81:B92)</f>
        <v>218321700</v>
      </c>
      <c r="C93" s="287">
        <f t="shared" ref="C93:E93" si="30">SUM(C81:C92)</f>
        <v>368255180</v>
      </c>
      <c r="D93" s="287">
        <f>SUM(D81:D92)</f>
        <v>235891110</v>
      </c>
      <c r="E93" s="287">
        <f t="shared" si="30"/>
        <v>97282010</v>
      </c>
      <c r="G93" s="321"/>
      <c r="H93" s="579"/>
    </row>
    <row r="94" spans="1:11" ht="24.95" customHeight="1" x14ac:dyDescent="0.2">
      <c r="A94" s="192" t="s">
        <v>381</v>
      </c>
      <c r="B94" s="287">
        <f>B93-B77</f>
        <v>0</v>
      </c>
      <c r="C94" s="287">
        <f>C93-C77</f>
        <v>254621440</v>
      </c>
      <c r="D94" s="287">
        <f>D93-D77</f>
        <v>163309230</v>
      </c>
      <c r="E94" s="287">
        <f>E93-E77</f>
        <v>65175930</v>
      </c>
      <c r="G94" s="321"/>
      <c r="H94" s="579"/>
    </row>
    <row r="95" spans="1:11" ht="24.95" customHeight="1" x14ac:dyDescent="0.2">
      <c r="B95" s="287"/>
      <c r="C95" s="287"/>
      <c r="D95" s="287"/>
      <c r="E95" s="287"/>
      <c r="G95" s="321"/>
      <c r="H95" s="579"/>
    </row>
    <row r="96" spans="1:11" ht="24.95" customHeight="1" x14ac:dyDescent="0.2">
      <c r="B96" s="287">
        <f>'สงม. 2 (งบบุคลากร)'!C7+'สงม. 2 ปกครอง'!C7+'สงม. 2 ปกครอง'!C38+'สงม. 2 ทะเบียน'!C7+'สงม. 2 คลัง'!C7+'สงม. 2 รายได้'!C7+'สงม. 2 รักษาฯ'!C7+'สงม. 2 รักษาฯ'!C35+'สงม. 2 รักษาฯ'!C64+'สงม. 2 รักษาฯ'!C98+'สงม. 2 เทศกิจ'!C7+'สงม. 2 เทศกิจ'!C35+'สงม. 2 โยธา'!C7+'สงม. 2 โยธา'!C37+'สงม. 2 โยธา'!C62+'สงม. 2 โยธา'!C88+'สงม. 2 พัฒนาชุมชน'!C7+'สงม. 2 พัฒนาชุมชน'!C58+'สงม. 2 สวล.'!C7+'สงม. 2 สวล.'!C35+'สงม. 2 สวล.'!C62+'สงม. 2 ศึกษา'!C7+'สงม. 2 ศึกษา'!C61</f>
        <v>218321700</v>
      </c>
      <c r="C96" s="287">
        <f>'สงม. 2 (งบบุคลากร)'!D7+'สงม. 2 ปกครอง'!D7+'สงม. 2 ปกครอง'!D38+'สงม. 2 ทะเบียน'!D7+'สงม. 2 คลัง'!D7+'สงม. 2 รายได้'!D7+'สงม. 2 รักษาฯ'!D7+'สงม. 2 รักษาฯ'!D35+'สงม. 2 รักษาฯ'!D64+'สงม. 2 รักษาฯ'!D98+'สงม. 2 เทศกิจ'!D7+'สงม. 2 เทศกิจ'!D35+'สงม. 2 โยธา'!D7+'สงม. 2 โยธา'!D37+'สงม. 2 โยธา'!D62+'สงม. 2 โยธา'!D88+'สงม. 2 พัฒนาชุมชน'!D7+'สงม. 2 พัฒนาชุมชน'!D58+'สงม. 2 สวล.'!D7+'สงม. 2 สวล.'!D35+'สงม. 2 สวล.'!D62+'สงม. 2 ศึกษา'!D7+'สงม. 2 ศึกษา'!D61</f>
        <v>113633740</v>
      </c>
      <c r="D96" s="287">
        <f>'สงม. 2 (งบบุคลากร)'!E7+'สงม. 2 ปกครอง'!E7+'สงม. 2 ปกครอง'!E38+'สงม. 2 ทะเบียน'!E7+'สงม. 2 คลัง'!E7+'สงม. 2 รายได้'!E7+'สงม. 2 รักษาฯ'!E7+'สงม. 2 รักษาฯ'!E35+'สงม. 2 รักษาฯ'!E64+'สงม. 2 รักษาฯ'!E98+'สงม. 2 เทศกิจ'!E7+'สงม. 2 เทศกิจ'!E35+'สงม. 2 โยธา'!E7+'สงม. 2 โยธา'!E37+'สงม. 2 โยธา'!E62+'สงม. 2 โยธา'!E88+'สงม. 2 พัฒนาชุมชน'!E7+'สงม. 2 พัฒนาชุมชน'!E58+'สงม. 2 สวล.'!E7+'สงม. 2 สวล.'!E35+'สงม. 2 สวล.'!E62+'สงม. 2 ศึกษา'!E7+'สงม. 2 ศึกษา'!E61</f>
        <v>72581880</v>
      </c>
      <c r="E96" s="287">
        <f>'สงม. 2 (งบบุคลากร)'!F7+'สงม. 2 ปกครอง'!F7+'สงม. 2 ปกครอง'!F38+'สงม. 2 ทะเบียน'!F7+'สงม. 2 คลัง'!F7+'สงม. 2 รายได้'!F7+'สงม. 2 รักษาฯ'!F7+'สงม. 2 รักษาฯ'!F35+'สงม. 2 รักษาฯ'!F64+'สงม. 2 รักษาฯ'!F98+'สงม. 2 เทศกิจ'!F7+'สงม. 2 เทศกิจ'!F35+'สงม. 2 โยธา'!F7+'สงม. 2 โยธา'!F37+'สงม. 2 โยธา'!F62+'สงม. 2 โยธา'!F88+'สงม. 2 พัฒนาชุมชน'!F7+'สงม. 2 พัฒนาชุมชน'!F58+'สงม. 2 สวล.'!F7+'สงม. 2 สวล.'!F35+'สงม. 2 สวล.'!F62+'สงม. 2 ศึกษา'!F7+'สงม. 2 ศึกษา'!F61</f>
        <v>32106080</v>
      </c>
      <c r="G96" s="321"/>
      <c r="H96" s="579"/>
    </row>
    <row r="97" spans="2:11" ht="24.95" customHeight="1" x14ac:dyDescent="0.2">
      <c r="B97" s="287">
        <f>B92-B96</f>
        <v>0</v>
      </c>
      <c r="C97" s="287">
        <f t="shared" ref="C97:E97" si="31">C92-C96</f>
        <v>0</v>
      </c>
      <c r="D97" s="287">
        <f t="shared" si="31"/>
        <v>0</v>
      </c>
      <c r="E97" s="287">
        <f t="shared" si="31"/>
        <v>0</v>
      </c>
      <c r="G97" s="321"/>
      <c r="H97" s="579"/>
    </row>
    <row r="98" spans="2:11" ht="24.95" customHeight="1" x14ac:dyDescent="0.2">
      <c r="B98" s="287"/>
      <c r="C98" s="287"/>
      <c r="D98" s="287"/>
      <c r="E98" s="287"/>
      <c r="G98" s="321"/>
      <c r="H98" s="579"/>
    </row>
    <row r="99" spans="2:11" ht="24.95" customHeight="1" x14ac:dyDescent="0.2">
      <c r="B99" s="287">
        <f>B77-259377500</f>
        <v>-41055800</v>
      </c>
      <c r="C99" s="287">
        <f>C77-109362050</f>
        <v>4271690</v>
      </c>
      <c r="D99" s="287">
        <f>D77-108367100</f>
        <v>-35785220</v>
      </c>
      <c r="E99" s="287">
        <f>E77-41648350</f>
        <v>-9542270</v>
      </c>
      <c r="G99" s="321"/>
      <c r="H99" s="579"/>
    </row>
    <row r="100" spans="2:11" ht="24.95" customHeight="1" x14ac:dyDescent="0.2">
      <c r="B100" s="287"/>
      <c r="C100" s="287"/>
      <c r="D100" s="287"/>
      <c r="E100" s="287"/>
      <c r="G100" s="321"/>
      <c r="H100" s="579"/>
    </row>
    <row r="101" spans="2:11" ht="24.95" customHeight="1" x14ac:dyDescent="0.2">
      <c r="B101" s="287"/>
      <c r="C101" s="287"/>
      <c r="D101" s="287"/>
      <c r="E101" s="287"/>
      <c r="G101" s="321"/>
      <c r="H101" s="579"/>
    </row>
    <row r="102" spans="2:11" ht="24.95" customHeight="1" x14ac:dyDescent="0.2">
      <c r="B102" s="287"/>
      <c r="C102" s="287"/>
      <c r="D102" s="287"/>
      <c r="E102" s="287"/>
      <c r="G102" s="321"/>
      <c r="H102" s="579"/>
    </row>
    <row r="103" spans="2:11" ht="24.95" customHeight="1" x14ac:dyDescent="0.2">
      <c r="B103" s="287"/>
      <c r="C103" s="287"/>
      <c r="D103" s="287"/>
      <c r="E103" s="287"/>
      <c r="G103" s="321"/>
      <c r="H103" s="579"/>
    </row>
    <row r="104" spans="2:11" ht="24.95" customHeight="1" x14ac:dyDescent="0.2">
      <c r="B104" s="287"/>
      <c r="C104" s="287"/>
      <c r="D104" s="287"/>
      <c r="E104" s="287"/>
      <c r="G104" s="321"/>
      <c r="H104" s="579"/>
    </row>
    <row r="105" spans="2:11" ht="24.95" customHeight="1" x14ac:dyDescent="0.2">
      <c r="B105" s="287"/>
      <c r="C105" s="287"/>
      <c r="D105" s="287"/>
      <c r="E105" s="287"/>
      <c r="G105" s="321"/>
      <c r="H105" s="579"/>
      <c r="I105" s="287"/>
      <c r="J105" s="287"/>
      <c r="K105" s="287"/>
    </row>
    <row r="106" spans="2:11" ht="24.95" customHeight="1" x14ac:dyDescent="0.2">
      <c r="B106" s="287"/>
      <c r="C106" s="287"/>
      <c r="D106" s="287"/>
      <c r="E106" s="287"/>
      <c r="G106" s="321"/>
      <c r="H106" s="579"/>
    </row>
    <row r="107" spans="2:11" ht="24.95" customHeight="1" x14ac:dyDescent="0.2">
      <c r="B107" s="287"/>
      <c r="C107" s="287"/>
      <c r="D107" s="287"/>
      <c r="E107" s="287"/>
      <c r="G107" s="321"/>
      <c r="H107" s="579"/>
    </row>
    <row r="108" spans="2:11" ht="24.95" customHeight="1" x14ac:dyDescent="0.2">
      <c r="B108" s="337"/>
      <c r="C108" s="337"/>
      <c r="D108" s="287"/>
      <c r="E108" s="287"/>
      <c r="G108" s="321"/>
      <c r="H108" s="579"/>
    </row>
    <row r="109" spans="2:11" ht="24.95" customHeight="1" x14ac:dyDescent="0.2">
      <c r="B109" s="287"/>
      <c r="C109" s="287"/>
      <c r="D109" s="287"/>
      <c r="E109" s="287"/>
      <c r="G109" s="321"/>
      <c r="H109" s="579"/>
    </row>
    <row r="110" spans="2:11" ht="24.95" customHeight="1" x14ac:dyDescent="0.2">
      <c r="B110" s="287"/>
      <c r="C110" s="287"/>
      <c r="D110" s="287"/>
      <c r="E110" s="287"/>
      <c r="G110" s="321"/>
      <c r="H110" s="579"/>
    </row>
    <row r="111" spans="2:11" ht="24.95" customHeight="1" x14ac:dyDescent="0.2">
      <c r="B111" s="287"/>
      <c r="C111" s="287"/>
      <c r="D111" s="287"/>
      <c r="E111" s="287"/>
      <c r="G111" s="321"/>
      <c r="H111" s="579"/>
    </row>
    <row r="112" spans="2:11" ht="24.95" customHeight="1" x14ac:dyDescent="0.2">
      <c r="B112" s="287"/>
      <c r="C112" s="287"/>
      <c r="D112" s="287"/>
      <c r="E112" s="287"/>
      <c r="G112" s="321"/>
      <c r="H112" s="579"/>
    </row>
    <row r="113" spans="1:8" x14ac:dyDescent="0.2">
      <c r="B113" s="287"/>
      <c r="C113" s="287"/>
      <c r="D113" s="287"/>
      <c r="E113" s="287"/>
      <c r="G113" s="321"/>
      <c r="H113" s="579"/>
    </row>
    <row r="114" spans="1:8" x14ac:dyDescent="0.2">
      <c r="B114" s="287"/>
      <c r="C114" s="287"/>
      <c r="D114" s="287"/>
      <c r="E114" s="287"/>
      <c r="G114" s="321"/>
      <c r="H114" s="579"/>
    </row>
    <row r="115" spans="1:8" x14ac:dyDescent="0.2">
      <c r="B115" s="287"/>
      <c r="C115" s="287"/>
      <c r="D115" s="287"/>
      <c r="E115" s="287"/>
      <c r="G115" s="321"/>
      <c r="H115" s="579"/>
    </row>
    <row r="116" spans="1:8" x14ac:dyDescent="0.2">
      <c r="B116" s="287"/>
      <c r="C116" s="287"/>
      <c r="D116" s="287"/>
      <c r="E116" s="287"/>
      <c r="G116" s="321"/>
      <c r="H116" s="579"/>
    </row>
    <row r="117" spans="1:8" x14ac:dyDescent="0.2">
      <c r="B117" s="287" t="s">
        <v>6</v>
      </c>
      <c r="C117" s="287" t="s">
        <v>373</v>
      </c>
      <c r="D117" s="287" t="s">
        <v>374</v>
      </c>
      <c r="E117" s="287" t="s">
        <v>375</v>
      </c>
      <c r="G117" s="321"/>
      <c r="H117" s="579"/>
    </row>
    <row r="118" spans="1:8" x14ac:dyDescent="0.2">
      <c r="B118" s="287">
        <f>B77-'[1]สงม.1 (รวม)'!$B$95</f>
        <v>190374900</v>
      </c>
      <c r="C118" s="287">
        <f>C77-'[1]สงม.1 (รวม)'!$C$95</f>
        <v>105767840</v>
      </c>
      <c r="D118" s="287">
        <f>D77-'[1]สงม.1 (รวม)'!$D$95</f>
        <v>56048980</v>
      </c>
      <c r="E118" s="287">
        <f>E77-'[1]สงม.1 (รวม)'!$E$95</f>
        <v>28558080</v>
      </c>
      <c r="G118" s="321"/>
      <c r="H118" s="579"/>
    </row>
    <row r="119" spans="1:8" x14ac:dyDescent="0.2">
      <c r="B119" s="287">
        <f>B78-'[1]สงม.1 (รวม)'!$B$96</f>
        <v>15060500</v>
      </c>
      <c r="C119" s="287">
        <f>C78-'[1]สงม.1 (รวม)'!$C$96</f>
        <v>21071320</v>
      </c>
      <c r="D119" s="287">
        <f>D78-'[1]สงม.1 (รวม)'!$D$96</f>
        <v>-1589750</v>
      </c>
      <c r="E119" s="287">
        <f>E78-'[1]สงม.1 (รวม)'!$E$96</f>
        <v>-4421070</v>
      </c>
      <c r="G119" s="321"/>
      <c r="H119" s="579"/>
    </row>
    <row r="120" spans="1:8" x14ac:dyDescent="0.2">
      <c r="B120" s="287" t="e">
        <f>#REF!-'[1]สงม.1 (รวม)'!$B$97</f>
        <v>#REF!</v>
      </c>
      <c r="C120" s="287" t="e">
        <f>#REF!-'[1]สงม.1 (รวม)'!$C$97</f>
        <v>#REF!</v>
      </c>
      <c r="D120" s="287" t="e">
        <f>#REF!-'[1]สงม.1 (รวม)'!$D$97</f>
        <v>#REF!</v>
      </c>
      <c r="E120" s="287" t="e">
        <f>#REF!-'[1]สงม.1 (รวม)'!$E$97</f>
        <v>#REF!</v>
      </c>
      <c r="G120" s="321"/>
      <c r="H120" s="579"/>
    </row>
    <row r="121" spans="1:8" x14ac:dyDescent="0.2">
      <c r="B121" s="287"/>
      <c r="C121" s="287"/>
      <c r="D121" s="287"/>
      <c r="E121" s="287"/>
      <c r="G121" s="321"/>
      <c r="H121" s="579"/>
    </row>
    <row r="122" spans="1:8" x14ac:dyDescent="0.2">
      <c r="B122" s="287"/>
      <c r="C122" s="287" t="e">
        <f>C119+C120</f>
        <v>#REF!</v>
      </c>
      <c r="D122" s="287" t="e">
        <f>D119+D120</f>
        <v>#REF!</v>
      </c>
      <c r="E122" s="287"/>
      <c r="G122" s="321"/>
      <c r="H122" s="579"/>
    </row>
    <row r="123" spans="1:8" x14ac:dyDescent="0.2">
      <c r="B123" s="287"/>
      <c r="C123" s="287"/>
      <c r="D123" s="287"/>
      <c r="E123" s="287"/>
      <c r="G123" s="321"/>
      <c r="H123" s="579"/>
    </row>
    <row r="124" spans="1:8" x14ac:dyDescent="0.2">
      <c r="A124" s="190"/>
      <c r="B124" s="287" t="e">
        <f>B78+#REF!-B77</f>
        <v>#REF!</v>
      </c>
      <c r="C124" s="287" t="e">
        <f>C78+#REF!-C77</f>
        <v>#REF!</v>
      </c>
      <c r="D124" s="287" t="e">
        <f>D78+#REF!-D77</f>
        <v>#REF!</v>
      </c>
      <c r="E124" s="287" t="e">
        <f>E78+#REF!-E77</f>
        <v>#REF!</v>
      </c>
      <c r="H124" s="579">
        <f>C76+C77</f>
        <v>114520340</v>
      </c>
    </row>
    <row r="125" spans="1:8" x14ac:dyDescent="0.2">
      <c r="B125" s="321">
        <f>'สงม. 2 (งบบุคลากร)'!C21+'สงม. 2 ปกครอง'!C34+'สงม. 2 ปกครอง'!C72+'สงม. 2 ทะเบียน'!C31+'สงม. 2 คลัง'!C31+'สงม. 2 รายได้'!C30+'สงม. 2 รักษาฯ'!C27+'สงม. 2 รักษาฯ'!C93+'สงม. 2 รักษาฯ'!C122+'สงม. 2 เทศกิจ'!C28+'สงม. 2 โยธา'!C31+'สงม. 2 โยธา'!C51+'สงม. 2 โยธา'!C79+'สงม. 2 โยธา'!C112+'สงม. 2 พัฒนาชุมชน'!C45+'สงม. 2 พัฒนาชุมชน'!C98+'สงม. 2 สวล.'!C28+'สงม. 2 สวล.'!C54+'สงม. 2 สวล.'!C84+'สงม. 2 ศึกษา'!C42+'สงม. 2 ศึกษา'!C119</f>
        <v>217703300</v>
      </c>
      <c r="C125" s="321">
        <f>'สงม. 2 (งบบุคลากร)'!D21+'สงม. 2 ปกครอง'!D34+'สงม. 2 ปกครอง'!D72+'สงม. 2 ทะเบียน'!D31+'สงม. 2 คลัง'!D31+'สงม. 2 รายได้'!D30+'สงม. 2 รักษาฯ'!D27+'สงม. 2 รักษาฯ'!D93+'สงม. 2 รักษาฯ'!D122+'สงม. 2 เทศกิจ'!D28+'สงม. 2 โยธา'!D31+'สงม. 2 โยธา'!D51+'สงม. 2 โยธา'!D79+'สงม. 2 โยธา'!D112+'สงม. 2 พัฒนาชุมชน'!D45+'สงม. 2 พัฒนาชุมชน'!D98+'สงม. 2 สวล.'!D28+'สงม. 2 สวล.'!D54+'สงม. 2 สวล.'!D84+'สงม. 2 ศึกษา'!D42+'สงม. 2 ศึกษา'!D119</f>
        <v>113299240</v>
      </c>
      <c r="D125" s="321">
        <f>'สงม. 2 (งบบุคลากร)'!E21+'สงม. 2 ปกครอง'!E34+'สงม. 2 ปกครอง'!E72+'สงม. 2 ทะเบียน'!E31+'สงม. 2 คลัง'!E31+'สงม. 2 รายได้'!E30+'สงม. 2 รักษาฯ'!E27+'สงม. 2 รักษาฯ'!E93+'สงม. 2 รักษาฯ'!E122+'สงม. 2 เทศกิจ'!E28+'สงม. 2 โยธา'!E31+'สงม. 2 โยธา'!E51+'สงม. 2 โยธา'!E79+'สงม. 2 โยธา'!E112+'สงม. 2 พัฒนาชุมชน'!E45+'สงม. 2 พัฒนาชุมชน'!E98+'สงม. 2 สวล.'!E28+'สงม. 2 สวล.'!E54+'สงม. 2 สวล.'!E84+'สงม. 2 ศึกษา'!E42+'สงม. 2 ศึกษา'!E119</f>
        <v>72341880</v>
      </c>
      <c r="E125" s="321">
        <f>'สงม. 2 (งบบุคลากร)'!F21+'สงม. 2 ปกครอง'!F34+'สงม. 2 ปกครอง'!F72+'สงม. 2 ทะเบียน'!F31+'สงม. 2 คลัง'!F31+'สงม. 2 รายได้'!F30+'สงม. 2 รักษาฯ'!F27+'สงม. 2 รักษาฯ'!F93+'สงม. 2 รักษาฯ'!F122+'สงม. 2 เทศกิจ'!F28+'สงม. 2 โยธา'!F31+'สงม. 2 โยธา'!F51+'สงม. 2 โยธา'!F79+'สงม. 2 โยธา'!F112+'สงม. 2 พัฒนาชุมชน'!F45+'สงม. 2 พัฒนาชุมชน'!F98+'สงม. 2 สวล.'!F28+'สงม. 2 สวล.'!F54+'สงม. 2 สวล.'!F84+'สงม. 2 ศึกษา'!F42+'สงม. 2 ศึกษา'!F119</f>
        <v>32062180</v>
      </c>
    </row>
    <row r="126" spans="1:8" x14ac:dyDescent="0.2">
      <c r="B126" s="287">
        <f>B77-B125</f>
        <v>618400</v>
      </c>
      <c r="C126" s="287">
        <f>C77-C125</f>
        <v>334500</v>
      </c>
      <c r="D126" s="287">
        <f>D77-D125</f>
        <v>240000</v>
      </c>
      <c r="E126" s="287">
        <f>E77-E125</f>
        <v>43900</v>
      </c>
    </row>
    <row r="127" spans="1:8" x14ac:dyDescent="0.2">
      <c r="B127" s="287"/>
      <c r="C127" s="287"/>
      <c r="D127" s="287"/>
      <c r="E127" s="287"/>
      <c r="G127" s="287"/>
    </row>
    <row r="128" spans="1:8" x14ac:dyDescent="0.2">
      <c r="B128" s="287"/>
      <c r="C128" s="287"/>
      <c r="D128" s="287"/>
      <c r="E128" s="287"/>
    </row>
  </sheetData>
  <mergeCells count="3">
    <mergeCell ref="A1:E1"/>
    <mergeCell ref="A2:E2"/>
    <mergeCell ref="A5:A6"/>
  </mergeCells>
  <pageMargins left="0.59055118110236227" right="0.39370078740157483" top="0.35433070866141736" bottom="0.19685039370078741" header="0.31496062992125984" footer="0.31496062992125984"/>
  <pageSetup paperSize="9" scale="97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71EA02-F757-4E8D-AD0B-4820679FE88D}">
  <sheetPr>
    <tabColor rgb="FF92D050"/>
  </sheetPr>
  <dimension ref="A1:I261"/>
  <sheetViews>
    <sheetView topLeftCell="A153" workbookViewId="0">
      <selection activeCell="A245" sqref="A245"/>
    </sheetView>
  </sheetViews>
  <sheetFormatPr defaultColWidth="9" defaultRowHeight="24" outlineLevelRow="1" x14ac:dyDescent="0.2"/>
  <cols>
    <col min="1" max="1" width="46.375" style="219" customWidth="1"/>
    <col min="2" max="5" width="19.75" style="219" customWidth="1"/>
    <col min="6" max="6" width="1.25" style="219" customWidth="1"/>
    <col min="7" max="7" width="14.75" style="219" customWidth="1"/>
    <col min="8" max="8" width="16.25" style="219" customWidth="1"/>
    <col min="9" max="16384" width="9" style="219"/>
  </cols>
  <sheetData>
    <row r="1" spans="1:9" x14ac:dyDescent="0.2">
      <c r="A1" s="672" t="s">
        <v>256</v>
      </c>
      <c r="B1" s="672"/>
      <c r="C1" s="672"/>
      <c r="D1" s="672"/>
      <c r="E1" s="672"/>
    </row>
    <row r="2" spans="1:9" ht="19.5" customHeight="1" x14ac:dyDescent="0.2">
      <c r="A2" s="672" t="s">
        <v>224</v>
      </c>
      <c r="B2" s="672"/>
      <c r="C2" s="672"/>
      <c r="D2" s="672"/>
      <c r="E2" s="672"/>
    </row>
    <row r="3" spans="1:9" ht="9" customHeight="1" x14ac:dyDescent="0.2">
      <c r="A3" s="122"/>
      <c r="B3" s="122"/>
      <c r="C3" s="122"/>
      <c r="D3" s="122"/>
      <c r="E3" s="122"/>
    </row>
    <row r="4" spans="1:9" ht="24" customHeight="1" x14ac:dyDescent="0.2">
      <c r="A4" s="122"/>
      <c r="B4" s="122"/>
      <c r="C4" s="122"/>
      <c r="D4" s="122"/>
      <c r="E4" s="278" t="s">
        <v>28</v>
      </c>
    </row>
    <row r="5" spans="1:9" x14ac:dyDescent="0.2">
      <c r="A5" s="671" t="s">
        <v>190</v>
      </c>
      <c r="B5" s="239" t="s">
        <v>1</v>
      </c>
      <c r="C5" s="239" t="s">
        <v>191</v>
      </c>
      <c r="D5" s="239" t="s">
        <v>192</v>
      </c>
      <c r="E5" s="239" t="s">
        <v>193</v>
      </c>
    </row>
    <row r="6" spans="1:9" s="240" customFormat="1" x14ac:dyDescent="0.2">
      <c r="A6" s="671"/>
      <c r="B6" s="239" t="s">
        <v>2</v>
      </c>
      <c r="C6" s="239" t="s">
        <v>2</v>
      </c>
      <c r="D6" s="239" t="s">
        <v>2</v>
      </c>
      <c r="E6" s="239" t="s">
        <v>2</v>
      </c>
    </row>
    <row r="7" spans="1:9" s="240" customFormat="1" x14ac:dyDescent="0.2">
      <c r="A7" s="279" t="s">
        <v>257</v>
      </c>
      <c r="B7" s="280"/>
      <c r="C7" s="280"/>
      <c r="D7" s="280"/>
      <c r="E7" s="280"/>
    </row>
    <row r="8" spans="1:9" s="240" customFormat="1" x14ac:dyDescent="0.2">
      <c r="A8" s="283" t="s">
        <v>258</v>
      </c>
      <c r="B8" s="477">
        <f>SUM(C8:E8)</f>
        <v>4217900</v>
      </c>
      <c r="C8" s="477">
        <f>C10</f>
        <v>4217900</v>
      </c>
      <c r="D8" s="477">
        <f t="shared" ref="D8:E8" si="0">D10</f>
        <v>0</v>
      </c>
      <c r="E8" s="477">
        <f t="shared" si="0"/>
        <v>0</v>
      </c>
    </row>
    <row r="9" spans="1:9" ht="24" customHeight="1" outlineLevel="1" x14ac:dyDescent="0.2">
      <c r="A9" s="285" t="s">
        <v>48</v>
      </c>
      <c r="B9" s="286">
        <f t="shared" ref="B9" si="1">SUM(C9:E9)</f>
        <v>4217900</v>
      </c>
      <c r="C9" s="286">
        <f>'สงม. 2 (งบบุคลากร)'!D21</f>
        <v>4217900</v>
      </c>
      <c r="D9" s="286">
        <f>'สงม. 2 (งบบุคลากร)'!E21</f>
        <v>0</v>
      </c>
      <c r="E9" s="286">
        <f>'สงม. 2 (งบบุคลากร)'!F21</f>
        <v>0</v>
      </c>
      <c r="G9" s="287">
        <f>B9-3688300</f>
        <v>529600</v>
      </c>
    </row>
    <row r="10" spans="1:9" ht="28.5" outlineLevel="1" thickBot="1" x14ac:dyDescent="0.25">
      <c r="A10" s="289" t="s">
        <v>1</v>
      </c>
      <c r="B10" s="290">
        <f>B9</f>
        <v>4217900</v>
      </c>
      <c r="C10" s="290">
        <f t="shared" ref="C10:E10" si="2">C9</f>
        <v>4217900</v>
      </c>
      <c r="D10" s="290">
        <f t="shared" si="2"/>
        <v>0</v>
      </c>
      <c r="E10" s="290">
        <f t="shared" si="2"/>
        <v>0</v>
      </c>
      <c r="G10" s="287"/>
      <c r="H10" s="287"/>
      <c r="I10" s="287"/>
    </row>
    <row r="11" spans="1:9" s="240" customFormat="1" ht="24.75" thickTop="1" x14ac:dyDescent="0.2">
      <c r="A11" s="476"/>
      <c r="B11" s="476"/>
      <c r="C11" s="476"/>
      <c r="D11" s="476"/>
      <c r="E11" s="476"/>
    </row>
    <row r="12" spans="1:9" outlineLevel="1" x14ac:dyDescent="0.2">
      <c r="A12" s="190" t="s">
        <v>226</v>
      </c>
      <c r="B12" s="299"/>
      <c r="C12" s="299"/>
      <c r="D12" s="299"/>
      <c r="E12" s="299"/>
    </row>
    <row r="13" spans="1:9" s="240" customFormat="1" x14ac:dyDescent="0.2"/>
    <row r="14" spans="1:9" s="240" customFormat="1" x14ac:dyDescent="0.2"/>
    <row r="15" spans="1:9" s="240" customFormat="1" x14ac:dyDescent="0.2"/>
    <row r="16" spans="1:9" s="240" customFormat="1" x14ac:dyDescent="0.2"/>
    <row r="17" spans="1:5" s="240" customFormat="1" x14ac:dyDescent="0.2"/>
    <row r="18" spans="1:5" s="240" customFormat="1" x14ac:dyDescent="0.2"/>
    <row r="19" spans="1:5" s="240" customFormat="1" x14ac:dyDescent="0.2"/>
    <row r="20" spans="1:5" s="240" customFormat="1" x14ac:dyDescent="0.2"/>
    <row r="21" spans="1:5" s="240" customFormat="1" x14ac:dyDescent="0.2"/>
    <row r="22" spans="1:5" s="240" customFormat="1" x14ac:dyDescent="0.2"/>
    <row r="23" spans="1:5" x14ac:dyDescent="0.2">
      <c r="A23" s="672" t="s">
        <v>256</v>
      </c>
      <c r="B23" s="672"/>
      <c r="C23" s="672"/>
      <c r="D23" s="672"/>
      <c r="E23" s="672"/>
    </row>
    <row r="24" spans="1:5" ht="19.5" customHeight="1" x14ac:dyDescent="0.2">
      <c r="A24" s="672" t="s">
        <v>224</v>
      </c>
      <c r="B24" s="672"/>
      <c r="C24" s="672"/>
      <c r="D24" s="672"/>
      <c r="E24" s="672"/>
    </row>
    <row r="25" spans="1:5" ht="9" customHeight="1" x14ac:dyDescent="0.2">
      <c r="A25" s="122"/>
      <c r="B25" s="122"/>
      <c r="C25" s="122"/>
      <c r="D25" s="122"/>
      <c r="E25" s="122"/>
    </row>
    <row r="26" spans="1:5" ht="24" customHeight="1" x14ac:dyDescent="0.2">
      <c r="A26" s="122"/>
      <c r="B26" s="122"/>
      <c r="C26" s="122"/>
      <c r="D26" s="122"/>
      <c r="E26" s="278" t="s">
        <v>28</v>
      </c>
    </row>
    <row r="27" spans="1:5" x14ac:dyDescent="0.2">
      <c r="A27" s="671" t="s">
        <v>190</v>
      </c>
      <c r="B27" s="239" t="s">
        <v>1</v>
      </c>
      <c r="C27" s="239" t="s">
        <v>191</v>
      </c>
      <c r="D27" s="239" t="s">
        <v>192</v>
      </c>
      <c r="E27" s="239" t="s">
        <v>193</v>
      </c>
    </row>
    <row r="28" spans="1:5" s="240" customFormat="1" x14ac:dyDescent="0.2">
      <c r="A28" s="671"/>
      <c r="B28" s="239" t="s">
        <v>2</v>
      </c>
      <c r="C28" s="239" t="s">
        <v>2</v>
      </c>
      <c r="D28" s="239" t="s">
        <v>2</v>
      </c>
      <c r="E28" s="239" t="s">
        <v>2</v>
      </c>
    </row>
    <row r="29" spans="1:5" s="240" customFormat="1" x14ac:dyDescent="0.2">
      <c r="A29" s="279" t="s">
        <v>172</v>
      </c>
      <c r="B29" s="280"/>
      <c r="C29" s="280"/>
      <c r="D29" s="280"/>
      <c r="E29" s="280"/>
    </row>
    <row r="30" spans="1:5" s="240" customFormat="1" x14ac:dyDescent="0.2">
      <c r="A30" s="281" t="s">
        <v>194</v>
      </c>
      <c r="B30" s="282">
        <f>B31+B33</f>
        <v>6036700</v>
      </c>
      <c r="C30" s="282">
        <f>C31+C33</f>
        <v>4800000</v>
      </c>
      <c r="D30" s="282">
        <f>D31+D33</f>
        <v>813600</v>
      </c>
      <c r="E30" s="282">
        <f>E31+E33</f>
        <v>423100</v>
      </c>
    </row>
    <row r="31" spans="1:5" x14ac:dyDescent="0.2">
      <c r="A31" s="283" t="s">
        <v>195</v>
      </c>
      <c r="B31" s="284">
        <f t="shared" ref="B31:B35" si="3">SUM(C31:E31)</f>
        <v>4530100</v>
      </c>
      <c r="C31" s="284">
        <f>SUM(C32:C32)</f>
        <v>4080400</v>
      </c>
      <c r="D31" s="284">
        <f>SUM(D32:D32)</f>
        <v>266000</v>
      </c>
      <c r="E31" s="284">
        <f>SUM(E32:E32)</f>
        <v>183700</v>
      </c>
    </row>
    <row r="32" spans="1:5" ht="24" customHeight="1" outlineLevel="1" x14ac:dyDescent="0.2">
      <c r="A32" s="285" t="s">
        <v>259</v>
      </c>
      <c r="B32" s="286">
        <f t="shared" si="3"/>
        <v>4530100</v>
      </c>
      <c r="C32" s="286">
        <f>'สงม. 2 ปกครอง'!D11</f>
        <v>4080400</v>
      </c>
      <c r="D32" s="286">
        <f>'สงม. 2 ปกครอง'!E11</f>
        <v>266000</v>
      </c>
      <c r="E32" s="286">
        <f>'สงม. 2 ปกครอง'!F11</f>
        <v>183700</v>
      </c>
    </row>
    <row r="33" spans="1:9" ht="24" customHeight="1" outlineLevel="1" x14ac:dyDescent="0.2">
      <c r="A33" s="283" t="s">
        <v>196</v>
      </c>
      <c r="B33" s="284">
        <f>SUM(C33:E33)</f>
        <v>1506600</v>
      </c>
      <c r="C33" s="284">
        <f>SUM(C34:C35)</f>
        <v>719600</v>
      </c>
      <c r="D33" s="284">
        <f>SUM(D34:D35)</f>
        <v>547600</v>
      </c>
      <c r="E33" s="284">
        <f>SUM(E34:E35)</f>
        <v>239400</v>
      </c>
    </row>
    <row r="34" spans="1:9" ht="24" customHeight="1" outlineLevel="1" x14ac:dyDescent="0.2">
      <c r="A34" s="285" t="s">
        <v>259</v>
      </c>
      <c r="B34" s="286">
        <f t="shared" si="3"/>
        <v>983000</v>
      </c>
      <c r="C34" s="286">
        <f>'สงม. 2 ปกครอง'!D42</f>
        <v>376400</v>
      </c>
      <c r="D34" s="286">
        <f>'สงม. 2 ปกครอง'!E42</f>
        <v>428200</v>
      </c>
      <c r="E34" s="286">
        <f>'สงม. 2 ปกครอง'!F42</f>
        <v>178400</v>
      </c>
    </row>
    <row r="35" spans="1:9" ht="24" customHeight="1" outlineLevel="1" x14ac:dyDescent="0.2">
      <c r="A35" s="285" t="s">
        <v>330</v>
      </c>
      <c r="B35" s="286">
        <f t="shared" si="3"/>
        <v>523600</v>
      </c>
      <c r="C35" s="286">
        <f>'สงม. 2 ปกครอง'!D66+'สงม. 2 ปกครอง'!D59+'สงม. 2 ปกครอง'!D62</f>
        <v>343200</v>
      </c>
      <c r="D35" s="286">
        <f>'สงม. 2 ปกครอง'!E66+'สงม. 2 ปกครอง'!E59+'สงม. 2 ปกครอง'!E62</f>
        <v>119400</v>
      </c>
      <c r="E35" s="286">
        <f>'สงม. 2 ปกครอง'!F66+'สงม. 2 ปกครอง'!F59+'สงม. 2 ปกครอง'!F62</f>
        <v>61000</v>
      </c>
      <c r="G35" s="287"/>
      <c r="H35" s="287"/>
    </row>
    <row r="36" spans="1:9" outlineLevel="1" x14ac:dyDescent="0.2">
      <c r="A36" s="288" t="s">
        <v>197</v>
      </c>
      <c r="B36" s="282" t="e">
        <f>SUM(C36:E36)</f>
        <v>#REF!</v>
      </c>
      <c r="C36" s="282" t="e">
        <f>'สงม. 2 ปกครอง'!#REF!</f>
        <v>#REF!</v>
      </c>
      <c r="D36" s="282" t="e">
        <f>'สงม. 2 ปกครอง'!#REF!</f>
        <v>#REF!</v>
      </c>
      <c r="E36" s="282" t="e">
        <f>'สงม. 2 ปกครอง'!#REF!</f>
        <v>#REF!</v>
      </c>
      <c r="G36" s="287" t="e">
        <f>B30+B36</f>
        <v>#REF!</v>
      </c>
      <c r="H36" s="287" t="e">
        <f>C30+D30+E30+C36+D36+E36</f>
        <v>#REF!</v>
      </c>
      <c r="I36" s="287" t="e">
        <f>G36-H36</f>
        <v>#REF!</v>
      </c>
    </row>
    <row r="37" spans="1:9" ht="28.5" outlineLevel="1" thickBot="1" x14ac:dyDescent="0.25">
      <c r="A37" s="289" t="s">
        <v>1</v>
      </c>
      <c r="B37" s="290" t="e">
        <f>B30+B36</f>
        <v>#REF!</v>
      </c>
      <c r="C37" s="290" t="e">
        <f>C30+C36</f>
        <v>#REF!</v>
      </c>
      <c r="D37" s="290" t="e">
        <f>D30+D36</f>
        <v>#REF!</v>
      </c>
      <c r="E37" s="290" t="e">
        <f>E30+E36</f>
        <v>#REF!</v>
      </c>
      <c r="G37" s="287"/>
      <c r="H37" s="287"/>
      <c r="I37" s="287"/>
    </row>
    <row r="38" spans="1:9" ht="24.75" outlineLevel="1" thickTop="1" x14ac:dyDescent="0.2">
      <c r="A38" s="188"/>
      <c r="B38" s="295"/>
      <c r="C38" s="295"/>
      <c r="D38" s="295"/>
      <c r="E38" s="295"/>
      <c r="G38" s="287"/>
      <c r="H38" s="287"/>
      <c r="I38" s="287"/>
    </row>
    <row r="39" spans="1:9" outlineLevel="1" x14ac:dyDescent="0.2">
      <c r="A39" s="190" t="s">
        <v>225</v>
      </c>
      <c r="B39" s="295"/>
      <c r="C39" s="295"/>
      <c r="D39" s="295"/>
      <c r="E39" s="295"/>
      <c r="G39" s="287"/>
      <c r="H39" s="287"/>
      <c r="I39" s="287"/>
    </row>
    <row r="40" spans="1:9" outlineLevel="1" x14ac:dyDescent="0.2">
      <c r="A40" s="190"/>
      <c r="B40" s="295"/>
      <c r="C40" s="295"/>
      <c r="D40" s="295"/>
      <c r="E40" s="295"/>
      <c r="G40" s="287"/>
      <c r="H40" s="287"/>
      <c r="I40" s="287"/>
    </row>
    <row r="41" spans="1:9" outlineLevel="1" x14ac:dyDescent="0.2">
      <c r="A41" s="190"/>
      <c r="B41" s="295"/>
      <c r="C41" s="295"/>
      <c r="D41" s="295"/>
      <c r="E41" s="295"/>
      <c r="G41" s="287"/>
      <c r="H41" s="287"/>
      <c r="I41" s="287"/>
    </row>
    <row r="42" spans="1:9" outlineLevel="1" x14ac:dyDescent="0.2">
      <c r="A42" s="190"/>
      <c r="B42" s="295"/>
      <c r="C42" s="295"/>
      <c r="D42" s="295"/>
      <c r="E42" s="295"/>
      <c r="G42" s="287"/>
      <c r="H42" s="287"/>
      <c r="I42" s="287"/>
    </row>
    <row r="43" spans="1:9" outlineLevel="1" x14ac:dyDescent="0.2">
      <c r="A43" s="190"/>
      <c r="B43" s="295"/>
      <c r="C43" s="295"/>
      <c r="D43" s="295"/>
      <c r="E43" s="295"/>
      <c r="G43" s="287"/>
      <c r="H43" s="287"/>
      <c r="I43" s="287"/>
    </row>
    <row r="44" spans="1:9" outlineLevel="1" x14ac:dyDescent="0.2">
      <c r="A44" s="190"/>
      <c r="B44" s="295"/>
      <c r="C44" s="295"/>
      <c r="D44" s="295"/>
      <c r="E44" s="295"/>
      <c r="G44" s="287"/>
      <c r="H44" s="287"/>
      <c r="I44" s="287"/>
    </row>
    <row r="45" spans="1:9" x14ac:dyDescent="0.2">
      <c r="A45" s="672" t="s">
        <v>256</v>
      </c>
      <c r="B45" s="672"/>
      <c r="C45" s="672"/>
      <c r="D45" s="672"/>
      <c r="E45" s="672"/>
    </row>
    <row r="46" spans="1:9" ht="19.5" customHeight="1" x14ac:dyDescent="0.2">
      <c r="A46" s="672" t="s">
        <v>224</v>
      </c>
      <c r="B46" s="672"/>
      <c r="C46" s="672"/>
      <c r="D46" s="672"/>
      <c r="E46" s="672"/>
    </row>
    <row r="47" spans="1:9" ht="9" customHeight="1" x14ac:dyDescent="0.2">
      <c r="A47" s="122"/>
      <c r="B47" s="122"/>
      <c r="C47" s="122"/>
      <c r="D47" s="122"/>
      <c r="E47" s="122"/>
    </row>
    <row r="48" spans="1:9" ht="24" customHeight="1" x14ac:dyDescent="0.2">
      <c r="A48" s="122"/>
      <c r="B48" s="122"/>
      <c r="C48" s="122"/>
      <c r="D48" s="122"/>
      <c r="E48" s="278" t="s">
        <v>28</v>
      </c>
    </row>
    <row r="49" spans="1:5" x14ac:dyDescent="0.2">
      <c r="A49" s="671" t="s">
        <v>190</v>
      </c>
      <c r="B49" s="239" t="s">
        <v>1</v>
      </c>
      <c r="C49" s="239" t="s">
        <v>191</v>
      </c>
      <c r="D49" s="239" t="s">
        <v>192</v>
      </c>
      <c r="E49" s="239" t="s">
        <v>193</v>
      </c>
    </row>
    <row r="50" spans="1:5" s="240" customFormat="1" x14ac:dyDescent="0.2">
      <c r="A50" s="671"/>
      <c r="B50" s="239" t="s">
        <v>2</v>
      </c>
      <c r="C50" s="239" t="s">
        <v>2</v>
      </c>
      <c r="D50" s="239" t="s">
        <v>2</v>
      </c>
      <c r="E50" s="239" t="s">
        <v>2</v>
      </c>
    </row>
    <row r="51" spans="1:5" outlineLevel="1" x14ac:dyDescent="0.2">
      <c r="A51" s="293" t="s">
        <v>178</v>
      </c>
      <c r="B51" s="294"/>
      <c r="C51" s="294"/>
      <c r="D51" s="294"/>
      <c r="E51" s="294"/>
    </row>
    <row r="52" spans="1:5" outlineLevel="1" x14ac:dyDescent="0.2">
      <c r="A52" s="281" t="s">
        <v>194</v>
      </c>
      <c r="B52" s="282">
        <f>SUM(C52:E52)</f>
        <v>1301000</v>
      </c>
      <c r="C52" s="282">
        <f>C53</f>
        <v>989910</v>
      </c>
      <c r="D52" s="282">
        <f t="shared" ref="D52:E52" si="4">D53</f>
        <v>170520</v>
      </c>
      <c r="E52" s="282">
        <f t="shared" si="4"/>
        <v>140570</v>
      </c>
    </row>
    <row r="53" spans="1:5" outlineLevel="1" x14ac:dyDescent="0.2">
      <c r="A53" s="283" t="s">
        <v>198</v>
      </c>
      <c r="B53" s="284">
        <f>SUM(C53:E53)</f>
        <v>1301000</v>
      </c>
      <c r="C53" s="284">
        <f>C54</f>
        <v>989910</v>
      </c>
      <c r="D53" s="284">
        <f>SUM(D54:D54)</f>
        <v>170520</v>
      </c>
      <c r="E53" s="284">
        <f>SUM(E54:E54)</f>
        <v>140570</v>
      </c>
    </row>
    <row r="54" spans="1:5" outlineLevel="1" x14ac:dyDescent="0.2">
      <c r="A54" s="296" t="s">
        <v>259</v>
      </c>
      <c r="B54" s="297">
        <f>SUM(C54:E54)</f>
        <v>1301000</v>
      </c>
      <c r="C54" s="297">
        <f>'สงม. 2 ทะเบียน'!D11</f>
        <v>989910</v>
      </c>
      <c r="D54" s="297">
        <f>'สงม. 2 ทะเบียน'!E11</f>
        <v>170520</v>
      </c>
      <c r="E54" s="297">
        <f>'สงม. 2 ทะเบียน'!F11</f>
        <v>140570</v>
      </c>
    </row>
    <row r="55" spans="1:5" ht="28.5" outlineLevel="1" thickBot="1" x14ac:dyDescent="0.25">
      <c r="A55" s="289" t="s">
        <v>1</v>
      </c>
      <c r="B55" s="290">
        <f>B52</f>
        <v>1301000</v>
      </c>
      <c r="C55" s="290">
        <f>C52</f>
        <v>989910</v>
      </c>
      <c r="D55" s="290">
        <f>D52</f>
        <v>170520</v>
      </c>
      <c r="E55" s="290">
        <f>E52</f>
        <v>140570</v>
      </c>
    </row>
    <row r="56" spans="1:5" ht="24.75" outlineLevel="1" thickTop="1" x14ac:dyDescent="0.2">
      <c r="A56" s="298"/>
      <c r="B56" s="299"/>
      <c r="C56" s="299"/>
      <c r="D56" s="299"/>
      <c r="E56" s="299"/>
    </row>
    <row r="57" spans="1:5" outlineLevel="1" x14ac:dyDescent="0.2">
      <c r="A57" s="190" t="s">
        <v>227</v>
      </c>
      <c r="B57" s="299"/>
      <c r="C57" s="299"/>
      <c r="D57" s="299"/>
      <c r="E57" s="299"/>
    </row>
    <row r="58" spans="1:5" outlineLevel="1" x14ac:dyDescent="0.2">
      <c r="A58" s="190"/>
      <c r="B58" s="299"/>
      <c r="C58" s="299"/>
      <c r="D58" s="299"/>
      <c r="E58" s="299"/>
    </row>
    <row r="59" spans="1:5" outlineLevel="1" x14ac:dyDescent="0.2">
      <c r="A59" s="190"/>
      <c r="B59" s="299"/>
      <c r="C59" s="299"/>
      <c r="D59" s="299"/>
      <c r="E59" s="299"/>
    </row>
    <row r="60" spans="1:5" outlineLevel="1" x14ac:dyDescent="0.2">
      <c r="A60" s="190"/>
      <c r="B60" s="299"/>
      <c r="C60" s="299"/>
      <c r="D60" s="299"/>
      <c r="E60" s="299"/>
    </row>
    <row r="61" spans="1:5" outlineLevel="1" x14ac:dyDescent="0.2">
      <c r="A61" s="190"/>
      <c r="B61" s="299"/>
      <c r="C61" s="299"/>
      <c r="D61" s="299"/>
      <c r="E61" s="299"/>
    </row>
    <row r="62" spans="1:5" outlineLevel="1" x14ac:dyDescent="0.2">
      <c r="A62" s="190"/>
      <c r="B62" s="299"/>
      <c r="C62" s="299"/>
      <c r="D62" s="299"/>
      <c r="E62" s="299"/>
    </row>
    <row r="63" spans="1:5" outlineLevel="1" x14ac:dyDescent="0.2">
      <c r="A63" s="190"/>
      <c r="B63" s="299"/>
      <c r="C63" s="299"/>
      <c r="D63" s="299"/>
      <c r="E63" s="299"/>
    </row>
    <row r="64" spans="1:5" outlineLevel="1" x14ac:dyDescent="0.2">
      <c r="A64" s="190"/>
      <c r="B64" s="299"/>
      <c r="C64" s="299"/>
      <c r="D64" s="299"/>
      <c r="E64" s="299"/>
    </row>
    <row r="65" spans="1:5" outlineLevel="1" x14ac:dyDescent="0.2">
      <c r="A65" s="298"/>
      <c r="B65" s="299"/>
      <c r="C65" s="299"/>
      <c r="D65" s="299"/>
      <c r="E65" s="299"/>
    </row>
    <row r="66" spans="1:5" outlineLevel="1" x14ac:dyDescent="0.2">
      <c r="A66" s="298"/>
      <c r="B66" s="299"/>
      <c r="C66" s="299"/>
      <c r="D66" s="299"/>
      <c r="E66" s="299"/>
    </row>
    <row r="67" spans="1:5" x14ac:dyDescent="0.2">
      <c r="A67" s="672" t="s">
        <v>256</v>
      </c>
      <c r="B67" s="672"/>
      <c r="C67" s="672"/>
      <c r="D67" s="672"/>
      <c r="E67" s="672"/>
    </row>
    <row r="68" spans="1:5" ht="19.5" customHeight="1" x14ac:dyDescent="0.2">
      <c r="A68" s="672" t="s">
        <v>224</v>
      </c>
      <c r="B68" s="672"/>
      <c r="C68" s="672"/>
      <c r="D68" s="672"/>
      <c r="E68" s="672"/>
    </row>
    <row r="69" spans="1:5" ht="9" customHeight="1" x14ac:dyDescent="0.2">
      <c r="A69" s="122"/>
      <c r="B69" s="122"/>
      <c r="C69" s="122"/>
      <c r="D69" s="122"/>
      <c r="E69" s="122"/>
    </row>
    <row r="70" spans="1:5" ht="24" customHeight="1" x14ac:dyDescent="0.2">
      <c r="A70" s="122"/>
      <c r="B70" s="122"/>
      <c r="C70" s="122"/>
      <c r="D70" s="122"/>
      <c r="E70" s="278" t="s">
        <v>28</v>
      </c>
    </row>
    <row r="71" spans="1:5" x14ac:dyDescent="0.2">
      <c r="A71" s="671" t="s">
        <v>190</v>
      </c>
      <c r="B71" s="239" t="s">
        <v>1</v>
      </c>
      <c r="C71" s="239" t="s">
        <v>191</v>
      </c>
      <c r="D71" s="239" t="s">
        <v>192</v>
      </c>
      <c r="E71" s="239" t="s">
        <v>193</v>
      </c>
    </row>
    <row r="72" spans="1:5" s="240" customFormat="1" x14ac:dyDescent="0.2">
      <c r="A72" s="671"/>
      <c r="B72" s="239" t="s">
        <v>2</v>
      </c>
      <c r="C72" s="239" t="s">
        <v>2</v>
      </c>
      <c r="D72" s="239" t="s">
        <v>2</v>
      </c>
      <c r="E72" s="239" t="s">
        <v>2</v>
      </c>
    </row>
    <row r="73" spans="1:5" outlineLevel="1" x14ac:dyDescent="0.2">
      <c r="A73" s="293" t="s">
        <v>179</v>
      </c>
      <c r="B73" s="294"/>
      <c r="C73" s="294"/>
      <c r="D73" s="294"/>
      <c r="E73" s="294"/>
    </row>
    <row r="74" spans="1:5" s="240" customFormat="1" outlineLevel="1" x14ac:dyDescent="0.2">
      <c r="A74" s="281" t="s">
        <v>194</v>
      </c>
      <c r="B74" s="282">
        <f>SUM(C74:E74)</f>
        <v>829700</v>
      </c>
      <c r="C74" s="282">
        <f>C75</f>
        <v>582300</v>
      </c>
      <c r="D74" s="282">
        <f t="shared" ref="D74:E74" si="5">D75</f>
        <v>80000</v>
      </c>
      <c r="E74" s="282">
        <f t="shared" si="5"/>
        <v>167400</v>
      </c>
    </row>
    <row r="75" spans="1:5" ht="24" customHeight="1" outlineLevel="1" x14ac:dyDescent="0.2">
      <c r="A75" s="283" t="s">
        <v>199</v>
      </c>
      <c r="B75" s="284">
        <f>SUM(C75:E75)</f>
        <v>829700</v>
      </c>
      <c r="C75" s="284">
        <f>SUM(C76:C76)</f>
        <v>582300</v>
      </c>
      <c r="D75" s="284">
        <f>SUM(D76:D76)</f>
        <v>80000</v>
      </c>
      <c r="E75" s="284">
        <f>SUM(E76:E76)</f>
        <v>167400</v>
      </c>
    </row>
    <row r="76" spans="1:5" x14ac:dyDescent="0.2">
      <c r="A76" s="296" t="s">
        <v>259</v>
      </c>
      <c r="B76" s="297">
        <f>SUM(C76:E76)</f>
        <v>829700</v>
      </c>
      <c r="C76" s="297">
        <f>'สงม. 2 คลัง'!D11</f>
        <v>582300</v>
      </c>
      <c r="D76" s="297">
        <f>'สงม. 2 คลัง'!E11</f>
        <v>80000</v>
      </c>
      <c r="E76" s="297">
        <f>'สงม. 2 คลัง'!F11</f>
        <v>167400</v>
      </c>
    </row>
    <row r="77" spans="1:5" ht="28.5" thickBot="1" x14ac:dyDescent="0.25">
      <c r="A77" s="289" t="s">
        <v>1</v>
      </c>
      <c r="B77" s="290">
        <f>B74</f>
        <v>829700</v>
      </c>
      <c r="C77" s="290">
        <f>C74</f>
        <v>582300</v>
      </c>
      <c r="D77" s="290">
        <f>D74</f>
        <v>80000</v>
      </c>
      <c r="E77" s="290">
        <f>E74</f>
        <v>167400</v>
      </c>
    </row>
    <row r="78" spans="1:5" ht="24.75" outlineLevel="1" thickTop="1" x14ac:dyDescent="0.2">
      <c r="A78" s="298"/>
      <c r="B78" s="299"/>
      <c r="C78" s="299"/>
      <c r="D78" s="299"/>
      <c r="E78" s="299"/>
    </row>
    <row r="79" spans="1:5" outlineLevel="1" x14ac:dyDescent="0.2">
      <c r="A79" s="190" t="s">
        <v>226</v>
      </c>
      <c r="B79" s="299"/>
      <c r="C79" s="299"/>
      <c r="D79" s="299"/>
      <c r="E79" s="299"/>
    </row>
    <row r="80" spans="1:5" outlineLevel="1" x14ac:dyDescent="0.2">
      <c r="A80" s="190"/>
      <c r="B80" s="299"/>
      <c r="C80" s="299"/>
      <c r="D80" s="299"/>
      <c r="E80" s="299"/>
    </row>
    <row r="81" spans="1:5" outlineLevel="1" x14ac:dyDescent="0.2">
      <c r="A81" s="190"/>
      <c r="B81" s="299"/>
      <c r="C81" s="299"/>
      <c r="D81" s="299"/>
      <c r="E81" s="299"/>
    </row>
    <row r="82" spans="1:5" outlineLevel="1" x14ac:dyDescent="0.2">
      <c r="A82" s="190"/>
      <c r="B82" s="299"/>
      <c r="C82" s="299"/>
      <c r="D82" s="299"/>
      <c r="E82" s="299"/>
    </row>
    <row r="83" spans="1:5" outlineLevel="1" x14ac:dyDescent="0.2">
      <c r="A83" s="190"/>
      <c r="B83" s="299"/>
      <c r="C83" s="299"/>
      <c r="D83" s="299"/>
      <c r="E83" s="299"/>
    </row>
    <row r="84" spans="1:5" outlineLevel="1" x14ac:dyDescent="0.2">
      <c r="A84" s="190"/>
      <c r="B84" s="299"/>
      <c r="C84" s="299"/>
      <c r="D84" s="299"/>
      <c r="E84" s="299"/>
    </row>
    <row r="85" spans="1:5" outlineLevel="1" x14ac:dyDescent="0.2">
      <c r="A85" s="298"/>
      <c r="B85" s="299"/>
      <c r="C85" s="299"/>
      <c r="D85" s="299"/>
      <c r="E85" s="299"/>
    </row>
    <row r="86" spans="1:5" outlineLevel="1" x14ac:dyDescent="0.2">
      <c r="A86" s="298"/>
      <c r="B86" s="299"/>
      <c r="C86" s="299"/>
      <c r="D86" s="299"/>
      <c r="E86" s="299"/>
    </row>
    <row r="87" spans="1:5" outlineLevel="1" x14ac:dyDescent="0.2">
      <c r="A87" s="298"/>
      <c r="B87" s="299"/>
      <c r="C87" s="299"/>
      <c r="D87" s="299"/>
      <c r="E87" s="299"/>
    </row>
    <row r="88" spans="1:5" outlineLevel="1" x14ac:dyDescent="0.2">
      <c r="A88" s="298"/>
      <c r="B88" s="299"/>
      <c r="C88" s="299"/>
      <c r="D88" s="299"/>
      <c r="E88" s="299"/>
    </row>
    <row r="89" spans="1:5" x14ac:dyDescent="0.2">
      <c r="A89" s="672" t="s">
        <v>256</v>
      </c>
      <c r="B89" s="672"/>
      <c r="C89" s="672"/>
      <c r="D89" s="672"/>
      <c r="E89" s="672"/>
    </row>
    <row r="90" spans="1:5" ht="19.5" customHeight="1" x14ac:dyDescent="0.2">
      <c r="A90" s="672" t="s">
        <v>224</v>
      </c>
      <c r="B90" s="672"/>
      <c r="C90" s="672"/>
      <c r="D90" s="672"/>
      <c r="E90" s="672"/>
    </row>
    <row r="91" spans="1:5" ht="9" customHeight="1" x14ac:dyDescent="0.2">
      <c r="A91" s="122"/>
      <c r="B91" s="122"/>
      <c r="C91" s="122"/>
      <c r="D91" s="122"/>
      <c r="E91" s="122"/>
    </row>
    <row r="92" spans="1:5" ht="24" customHeight="1" x14ac:dyDescent="0.2">
      <c r="A92" s="122"/>
      <c r="B92" s="122"/>
      <c r="C92" s="122"/>
      <c r="D92" s="122"/>
      <c r="E92" s="278" t="s">
        <v>28</v>
      </c>
    </row>
    <row r="93" spans="1:5" x14ac:dyDescent="0.2">
      <c r="A93" s="671" t="s">
        <v>190</v>
      </c>
      <c r="B93" s="239" t="s">
        <v>1</v>
      </c>
      <c r="C93" s="239" t="s">
        <v>191</v>
      </c>
      <c r="D93" s="239" t="s">
        <v>192</v>
      </c>
      <c r="E93" s="239" t="s">
        <v>193</v>
      </c>
    </row>
    <row r="94" spans="1:5" s="240" customFormat="1" x14ac:dyDescent="0.2">
      <c r="A94" s="671"/>
      <c r="B94" s="239" t="s">
        <v>2</v>
      </c>
      <c r="C94" s="239" t="s">
        <v>2</v>
      </c>
      <c r="D94" s="239" t="s">
        <v>2</v>
      </c>
      <c r="E94" s="239" t="s">
        <v>2</v>
      </c>
    </row>
    <row r="95" spans="1:5" x14ac:dyDescent="0.2">
      <c r="A95" s="293" t="s">
        <v>180</v>
      </c>
      <c r="B95" s="294"/>
      <c r="C95" s="294"/>
      <c r="D95" s="294"/>
      <c r="E95" s="294"/>
    </row>
    <row r="96" spans="1:5" x14ac:dyDescent="0.2">
      <c r="A96" s="281" t="s">
        <v>194</v>
      </c>
      <c r="B96" s="282">
        <f>SUM(C96:E96)</f>
        <v>947400</v>
      </c>
      <c r="C96" s="282">
        <f>C97</f>
        <v>809200</v>
      </c>
      <c r="D96" s="282">
        <f t="shared" ref="D96:E96" si="6">D97</f>
        <v>138200</v>
      </c>
      <c r="E96" s="282">
        <f t="shared" si="6"/>
        <v>0</v>
      </c>
    </row>
    <row r="97" spans="1:5" x14ac:dyDescent="0.2">
      <c r="A97" s="283" t="s">
        <v>200</v>
      </c>
      <c r="B97" s="284">
        <f>SUM(C97:E97)</f>
        <v>947400</v>
      </c>
      <c r="C97" s="284">
        <f>SUM(C98:C98)</f>
        <v>809200</v>
      </c>
      <c r="D97" s="284">
        <f>SUM(D98:D98)</f>
        <v>138200</v>
      </c>
      <c r="E97" s="284">
        <f>SUM(E98:E98)</f>
        <v>0</v>
      </c>
    </row>
    <row r="98" spans="1:5" x14ac:dyDescent="0.2">
      <c r="A98" s="296" t="s">
        <v>259</v>
      </c>
      <c r="B98" s="286">
        <f>SUM(C98:E98)</f>
        <v>947400</v>
      </c>
      <c r="C98" s="286">
        <f>'สงม. 2 รายได้'!D11</f>
        <v>809200</v>
      </c>
      <c r="D98" s="286">
        <f>'สงม. 2 รายได้'!E11</f>
        <v>138200</v>
      </c>
      <c r="E98" s="286">
        <f>'สงม. 2 รายได้'!F11</f>
        <v>0</v>
      </c>
    </row>
    <row r="99" spans="1:5" ht="28.5" thickBot="1" x14ac:dyDescent="0.25">
      <c r="A99" s="289" t="s">
        <v>1</v>
      </c>
      <c r="B99" s="290">
        <f>B96</f>
        <v>947400</v>
      </c>
      <c r="C99" s="290">
        <f>C96</f>
        <v>809200</v>
      </c>
      <c r="D99" s="290">
        <f>D96</f>
        <v>138200</v>
      </c>
      <c r="E99" s="290">
        <f>E96</f>
        <v>0</v>
      </c>
    </row>
    <row r="100" spans="1:5" ht="24.75" thickTop="1" x14ac:dyDescent="0.2">
      <c r="A100" s="298"/>
      <c r="B100" s="300"/>
      <c r="C100" s="300"/>
      <c r="D100" s="300"/>
      <c r="E100" s="300"/>
    </row>
    <row r="101" spans="1:5" x14ac:dyDescent="0.2">
      <c r="A101" s="190" t="s">
        <v>261</v>
      </c>
      <c r="B101" s="300"/>
      <c r="C101" s="300"/>
      <c r="D101" s="300"/>
      <c r="E101" s="300"/>
    </row>
    <row r="102" spans="1:5" x14ac:dyDescent="0.2">
      <c r="A102" s="298"/>
      <c r="B102" s="300"/>
      <c r="C102" s="300"/>
      <c r="D102" s="300"/>
      <c r="E102" s="300"/>
    </row>
    <row r="103" spans="1:5" x14ac:dyDescent="0.2">
      <c r="A103" s="298"/>
      <c r="B103" s="300"/>
      <c r="C103" s="300"/>
      <c r="D103" s="300"/>
      <c r="E103" s="300"/>
    </row>
    <row r="104" spans="1:5" x14ac:dyDescent="0.2">
      <c r="A104" s="298"/>
      <c r="B104" s="300"/>
      <c r="C104" s="300"/>
      <c r="D104" s="300"/>
      <c r="E104" s="300"/>
    </row>
    <row r="105" spans="1:5" x14ac:dyDescent="0.2">
      <c r="A105" s="298"/>
      <c r="B105" s="300"/>
      <c r="C105" s="300"/>
      <c r="D105" s="300"/>
      <c r="E105" s="300"/>
    </row>
    <row r="106" spans="1:5" x14ac:dyDescent="0.2">
      <c r="A106" s="298"/>
      <c r="B106" s="300"/>
      <c r="C106" s="300"/>
      <c r="D106" s="300"/>
      <c r="E106" s="300"/>
    </row>
    <row r="107" spans="1:5" x14ac:dyDescent="0.2">
      <c r="A107" s="298"/>
      <c r="B107" s="300"/>
      <c r="C107" s="300"/>
      <c r="D107" s="300"/>
      <c r="E107" s="300"/>
    </row>
    <row r="108" spans="1:5" x14ac:dyDescent="0.2">
      <c r="A108" s="298"/>
      <c r="B108" s="300"/>
      <c r="C108" s="300"/>
      <c r="D108" s="300"/>
      <c r="E108" s="300"/>
    </row>
    <row r="109" spans="1:5" x14ac:dyDescent="0.2">
      <c r="A109" s="298"/>
      <c r="B109" s="300"/>
      <c r="C109" s="300"/>
      <c r="D109" s="300"/>
      <c r="E109" s="300"/>
    </row>
    <row r="110" spans="1:5" x14ac:dyDescent="0.2">
      <c r="A110" s="298"/>
      <c r="B110" s="300"/>
      <c r="C110" s="300"/>
      <c r="D110" s="300"/>
      <c r="E110" s="300"/>
    </row>
    <row r="111" spans="1:5" x14ac:dyDescent="0.2">
      <c r="A111" s="672" t="s">
        <v>256</v>
      </c>
      <c r="B111" s="672"/>
      <c r="C111" s="672"/>
      <c r="D111" s="672"/>
      <c r="E111" s="672"/>
    </row>
    <row r="112" spans="1:5" ht="19.5" customHeight="1" x14ac:dyDescent="0.2">
      <c r="A112" s="672" t="s">
        <v>224</v>
      </c>
      <c r="B112" s="672"/>
      <c r="C112" s="672"/>
      <c r="D112" s="672"/>
      <c r="E112" s="672"/>
    </row>
    <row r="113" spans="1:7" ht="9" customHeight="1" x14ac:dyDescent="0.2">
      <c r="A113" s="122"/>
      <c r="B113" s="122"/>
      <c r="C113" s="122"/>
      <c r="D113" s="122"/>
      <c r="E113" s="122"/>
    </row>
    <row r="114" spans="1:7" ht="21" customHeight="1" x14ac:dyDescent="0.2">
      <c r="A114" s="122"/>
      <c r="B114" s="122"/>
      <c r="C114" s="122"/>
      <c r="D114" s="122"/>
      <c r="E114" s="278" t="s">
        <v>28</v>
      </c>
    </row>
    <row r="115" spans="1:7" ht="21.95" customHeight="1" x14ac:dyDescent="0.2">
      <c r="A115" s="671" t="s">
        <v>190</v>
      </c>
      <c r="B115" s="239" t="s">
        <v>1</v>
      </c>
      <c r="C115" s="239" t="s">
        <v>191</v>
      </c>
      <c r="D115" s="239" t="s">
        <v>192</v>
      </c>
      <c r="E115" s="239" t="s">
        <v>193</v>
      </c>
    </row>
    <row r="116" spans="1:7" s="240" customFormat="1" ht="21.95" customHeight="1" x14ac:dyDescent="0.2">
      <c r="A116" s="671"/>
      <c r="B116" s="239" t="s">
        <v>2</v>
      </c>
      <c r="C116" s="239" t="s">
        <v>2</v>
      </c>
      <c r="D116" s="239" t="s">
        <v>2</v>
      </c>
      <c r="E116" s="239" t="s">
        <v>2</v>
      </c>
    </row>
    <row r="117" spans="1:7" ht="21.95" customHeight="1" x14ac:dyDescent="0.2">
      <c r="A117" s="279" t="s">
        <v>185</v>
      </c>
      <c r="B117" s="280"/>
      <c r="C117" s="280"/>
      <c r="D117" s="280"/>
      <c r="E117" s="280"/>
    </row>
    <row r="118" spans="1:7" ht="21.95" customHeight="1" x14ac:dyDescent="0.2">
      <c r="A118" s="281" t="s">
        <v>194</v>
      </c>
      <c r="B118" s="282" t="e">
        <f>SUM(C118:E118)</f>
        <v>#REF!</v>
      </c>
      <c r="C118" s="282" t="e">
        <f>C121+C124+C127+C119</f>
        <v>#REF!</v>
      </c>
      <c r="D118" s="282" t="e">
        <f>D121+D124+D127+D119</f>
        <v>#REF!</v>
      </c>
      <c r="E118" s="282" t="e">
        <f>E121+E124+E127+E119</f>
        <v>#REF!</v>
      </c>
    </row>
    <row r="119" spans="1:7" ht="21.95" customHeight="1" x14ac:dyDescent="0.2">
      <c r="A119" s="283" t="s">
        <v>201</v>
      </c>
      <c r="B119" s="284">
        <f t="shared" ref="B119:B125" si="7">SUM(C119:E119)</f>
        <v>12077900</v>
      </c>
      <c r="C119" s="284">
        <f>SUM(C120:C120)</f>
        <v>3855700</v>
      </c>
      <c r="D119" s="284">
        <f>SUM(D120:D120)</f>
        <v>6317000</v>
      </c>
      <c r="E119" s="284">
        <f>SUM(E120:E120)</f>
        <v>1905200</v>
      </c>
    </row>
    <row r="120" spans="1:7" ht="21.95" customHeight="1" x14ac:dyDescent="0.2">
      <c r="A120" s="296" t="s">
        <v>259</v>
      </c>
      <c r="B120" s="286">
        <f t="shared" si="7"/>
        <v>12077900</v>
      </c>
      <c r="C120" s="286">
        <f>'สงม. 2 รักษาฯ'!D11</f>
        <v>3855700</v>
      </c>
      <c r="D120" s="286">
        <f>'สงม. 2 รักษาฯ'!E11</f>
        <v>6317000</v>
      </c>
      <c r="E120" s="286">
        <f>'สงม. 2 รักษาฯ'!F11</f>
        <v>1905200</v>
      </c>
    </row>
    <row r="121" spans="1:7" ht="21.95" hidden="1" customHeight="1" x14ac:dyDescent="0.2">
      <c r="A121" s="283" t="s">
        <v>202</v>
      </c>
      <c r="B121" s="284" t="e">
        <f t="shared" si="7"/>
        <v>#REF!</v>
      </c>
      <c r="C121" s="284" t="e">
        <f>SUM(C122:C123)</f>
        <v>#REF!</v>
      </c>
      <c r="D121" s="284" t="e">
        <f t="shared" ref="D121:E121" si="8">SUM(D122:D123)</f>
        <v>#REF!</v>
      </c>
      <c r="E121" s="284" t="e">
        <f t="shared" si="8"/>
        <v>#REF!</v>
      </c>
    </row>
    <row r="122" spans="1:7" ht="21.95" hidden="1" customHeight="1" x14ac:dyDescent="0.2">
      <c r="A122" s="285" t="s">
        <v>48</v>
      </c>
      <c r="B122" s="286" t="e">
        <f t="shared" si="7"/>
        <v>#REF!</v>
      </c>
      <c r="C122" s="286" t="e">
        <f>'สงม. 2 รักษาฯ'!#REF!</f>
        <v>#REF!</v>
      </c>
      <c r="D122" s="286" t="e">
        <f>'สงม. 2 รักษาฯ'!#REF!</f>
        <v>#REF!</v>
      </c>
      <c r="E122" s="286" t="e">
        <f>'สงม. 2 รักษาฯ'!#REF!</f>
        <v>#REF!</v>
      </c>
    </row>
    <row r="123" spans="1:7" ht="21.95" hidden="1" customHeight="1" x14ac:dyDescent="0.2">
      <c r="A123" s="285" t="s">
        <v>49</v>
      </c>
      <c r="B123" s="286" t="e">
        <f t="shared" si="7"/>
        <v>#REF!</v>
      </c>
      <c r="C123" s="286" t="e">
        <f>'สงม. 2 รักษาฯ'!#REF!</f>
        <v>#REF!</v>
      </c>
      <c r="D123" s="286" t="e">
        <f>'สงม. 2 รักษาฯ'!#REF!</f>
        <v>#REF!</v>
      </c>
      <c r="E123" s="286" t="e">
        <f>'สงม. 2 รักษาฯ'!#REF!</f>
        <v>#REF!</v>
      </c>
    </row>
    <row r="124" spans="1:7" ht="21.95" customHeight="1" x14ac:dyDescent="0.2">
      <c r="A124" s="283" t="s">
        <v>203</v>
      </c>
      <c r="B124" s="284">
        <f t="shared" si="7"/>
        <v>5790000</v>
      </c>
      <c r="C124" s="284">
        <f>SUM(C125:C125)</f>
        <v>1490600</v>
      </c>
      <c r="D124" s="284">
        <f>SUM(D125:D125)</f>
        <v>2553400</v>
      </c>
      <c r="E124" s="284">
        <f>SUM(E125:E125)</f>
        <v>1746000</v>
      </c>
    </row>
    <row r="125" spans="1:7" ht="21.95" customHeight="1" x14ac:dyDescent="0.2">
      <c r="A125" s="296" t="s">
        <v>259</v>
      </c>
      <c r="B125" s="286">
        <f t="shared" si="7"/>
        <v>5790000</v>
      </c>
      <c r="C125" s="286">
        <f>'สงม. 2 รักษาฯ'!D68</f>
        <v>1490600</v>
      </c>
      <c r="D125" s="286">
        <f>'สงม. 2 รักษาฯ'!E68</f>
        <v>2553400</v>
      </c>
      <c r="E125" s="286">
        <f>'สงม. 2 รักษาฯ'!F68</f>
        <v>1746000</v>
      </c>
    </row>
    <row r="126" spans="1:7" ht="21.95" customHeight="1" x14ac:dyDescent="0.2">
      <c r="A126" s="288" t="s">
        <v>197</v>
      </c>
      <c r="B126" s="282" t="e">
        <f t="shared" ref="B126:B129" si="9">SUM(C126:E126)</f>
        <v>#REF!</v>
      </c>
      <c r="C126" s="282" t="e">
        <f>'สงม. 2 รักษาฯ'!#REF!+'สงม. 2 รักษาฯ'!D87</f>
        <v>#REF!</v>
      </c>
      <c r="D126" s="282" t="e">
        <f>'สงม. 2 รักษาฯ'!#REF!+'สงม. 2 รักษาฯ'!E87</f>
        <v>#REF!</v>
      </c>
      <c r="E126" s="282" t="e">
        <f>'สงม. 2 รักษาฯ'!#REF!+'สงม. 2 รักษาฯ'!F87</f>
        <v>#REF!</v>
      </c>
      <c r="G126" s="287" t="e">
        <f>B126+B124</f>
        <v>#REF!</v>
      </c>
    </row>
    <row r="127" spans="1:7" ht="21.95" customHeight="1" x14ac:dyDescent="0.2">
      <c r="A127" s="283" t="s">
        <v>204</v>
      </c>
      <c r="B127" s="284" t="e">
        <f t="shared" si="9"/>
        <v>#REF!</v>
      </c>
      <c r="C127" s="284" t="e">
        <f>SUM(C128:C129)</f>
        <v>#REF!</v>
      </c>
      <c r="D127" s="284" t="e">
        <f>SUM(D128:D129)</f>
        <v>#REF!</v>
      </c>
      <c r="E127" s="284" t="e">
        <f>SUM(E128:E129)</f>
        <v>#REF!</v>
      </c>
    </row>
    <row r="128" spans="1:7" ht="21.95" customHeight="1" x14ac:dyDescent="0.2">
      <c r="A128" s="296" t="s">
        <v>259</v>
      </c>
      <c r="B128" s="286">
        <f t="shared" si="9"/>
        <v>3892200</v>
      </c>
      <c r="C128" s="286">
        <f>'สงม. 2 รักษาฯ'!D102</f>
        <v>1000800</v>
      </c>
      <c r="D128" s="286">
        <f>'สงม. 2 รักษาฯ'!E102</f>
        <v>2424700</v>
      </c>
      <c r="E128" s="286">
        <f>'สงม. 2 รักษาฯ'!F102</f>
        <v>466700</v>
      </c>
    </row>
    <row r="129" spans="1:5" ht="21.95" customHeight="1" x14ac:dyDescent="0.2">
      <c r="A129" s="285" t="s">
        <v>330</v>
      </c>
      <c r="B129" s="286" t="e">
        <f t="shared" si="9"/>
        <v>#REF!</v>
      </c>
      <c r="C129" s="286" t="e">
        <f>'สงม. 2 รักษาฯ'!#REF!</f>
        <v>#REF!</v>
      </c>
      <c r="D129" s="286" t="e">
        <f>'สงม. 2 รักษาฯ'!#REF!</f>
        <v>#REF!</v>
      </c>
      <c r="E129" s="286" t="e">
        <f>'สงม. 2 รักษาฯ'!#REF!</f>
        <v>#REF!</v>
      </c>
    </row>
    <row r="130" spans="1:5" ht="21.95" customHeight="1" thickBot="1" x14ac:dyDescent="0.25">
      <c r="A130" s="289" t="s">
        <v>1</v>
      </c>
      <c r="B130" s="290" t="e">
        <f>B119+B121+B124+B126+B127</f>
        <v>#REF!</v>
      </c>
      <c r="C130" s="290" t="e">
        <f>C119+C121+C124+C126+C127</f>
        <v>#REF!</v>
      </c>
      <c r="D130" s="290" t="e">
        <f>D119+D121+D124+D126+D127</f>
        <v>#REF!</v>
      </c>
      <c r="E130" s="290" t="e">
        <f>E119+E121+E124+E126+E127</f>
        <v>#REF!</v>
      </c>
    </row>
    <row r="131" spans="1:5" ht="21.95" customHeight="1" thickTop="1" x14ac:dyDescent="0.2">
      <c r="A131" s="513"/>
      <c r="B131" s="295"/>
      <c r="C131" s="295"/>
      <c r="D131" s="295"/>
      <c r="E131" s="295"/>
    </row>
    <row r="132" spans="1:5" x14ac:dyDescent="0.2">
      <c r="A132" s="190" t="s">
        <v>329</v>
      </c>
    </row>
    <row r="133" spans="1:5" x14ac:dyDescent="0.2">
      <c r="A133" s="190"/>
    </row>
    <row r="134" spans="1:5" x14ac:dyDescent="0.2">
      <c r="A134" s="190"/>
    </row>
    <row r="135" spans="1:5" x14ac:dyDescent="0.2">
      <c r="A135" s="190"/>
    </row>
    <row r="136" spans="1:5" x14ac:dyDescent="0.2">
      <c r="A136" s="190"/>
    </row>
    <row r="137" spans="1:5" x14ac:dyDescent="0.2">
      <c r="A137" s="190"/>
    </row>
    <row r="138" spans="1:5" x14ac:dyDescent="0.2">
      <c r="A138" s="672" t="s">
        <v>256</v>
      </c>
      <c r="B138" s="672"/>
      <c r="C138" s="672"/>
      <c r="D138" s="672"/>
      <c r="E138" s="672"/>
    </row>
    <row r="139" spans="1:5" ht="19.5" customHeight="1" x14ac:dyDescent="0.2">
      <c r="A139" s="672" t="s">
        <v>224</v>
      </c>
      <c r="B139" s="672"/>
      <c r="C139" s="672"/>
      <c r="D139" s="672"/>
      <c r="E139" s="672"/>
    </row>
    <row r="140" spans="1:5" ht="9" customHeight="1" x14ac:dyDescent="0.2">
      <c r="A140" s="122"/>
      <c r="B140" s="122"/>
      <c r="C140" s="122"/>
      <c r="D140" s="122"/>
      <c r="E140" s="122"/>
    </row>
    <row r="141" spans="1:5" ht="21" customHeight="1" x14ac:dyDescent="0.2">
      <c r="A141" s="122"/>
      <c r="B141" s="122"/>
      <c r="C141" s="122"/>
      <c r="D141" s="122"/>
      <c r="E141" s="278" t="s">
        <v>28</v>
      </c>
    </row>
    <row r="142" spans="1:5" ht="21.95" customHeight="1" x14ac:dyDescent="0.2">
      <c r="A142" s="671" t="s">
        <v>190</v>
      </c>
      <c r="B142" s="239" t="s">
        <v>1</v>
      </c>
      <c r="C142" s="239" t="s">
        <v>191</v>
      </c>
      <c r="D142" s="239" t="s">
        <v>192</v>
      </c>
      <c r="E142" s="239" t="s">
        <v>193</v>
      </c>
    </row>
    <row r="143" spans="1:5" s="240" customFormat="1" ht="21.95" customHeight="1" x14ac:dyDescent="0.2">
      <c r="A143" s="671"/>
      <c r="B143" s="239" t="s">
        <v>2</v>
      </c>
      <c r="C143" s="239" t="s">
        <v>2</v>
      </c>
      <c r="D143" s="239" t="s">
        <v>2</v>
      </c>
      <c r="E143" s="239" t="s">
        <v>2</v>
      </c>
    </row>
    <row r="144" spans="1:5" x14ac:dyDescent="0.2">
      <c r="A144" s="279" t="s">
        <v>181</v>
      </c>
      <c r="B144" s="280"/>
      <c r="C144" s="280"/>
      <c r="D144" s="280"/>
      <c r="E144" s="280"/>
    </row>
    <row r="145" spans="1:5" x14ac:dyDescent="0.2">
      <c r="A145" s="281" t="s">
        <v>194</v>
      </c>
      <c r="B145" s="282">
        <f t="shared" ref="B145:B150" si="10">SUM(C145:E145)</f>
        <v>2884500</v>
      </c>
      <c r="C145" s="282">
        <f>C146+C148</f>
        <v>890800</v>
      </c>
      <c r="D145" s="282">
        <f>D146+D148</f>
        <v>1324700</v>
      </c>
      <c r="E145" s="282">
        <f>E146+E148</f>
        <v>669000</v>
      </c>
    </row>
    <row r="146" spans="1:5" x14ac:dyDescent="0.2">
      <c r="A146" s="283" t="s">
        <v>205</v>
      </c>
      <c r="B146" s="284">
        <f t="shared" si="10"/>
        <v>2884500</v>
      </c>
      <c r="C146" s="284">
        <f>SUM(C147:C147)</f>
        <v>890800</v>
      </c>
      <c r="D146" s="284">
        <f>SUM(D147:D147)</f>
        <v>1324700</v>
      </c>
      <c r="E146" s="284">
        <f>SUM(E147:E147)</f>
        <v>669000</v>
      </c>
    </row>
    <row r="147" spans="1:5" x14ac:dyDescent="0.2">
      <c r="A147" s="285" t="s">
        <v>259</v>
      </c>
      <c r="B147" s="286">
        <f t="shared" si="10"/>
        <v>2884500</v>
      </c>
      <c r="C147" s="286">
        <f>'สงม. 2 เทศกิจ'!D11</f>
        <v>890800</v>
      </c>
      <c r="D147" s="286">
        <f>'สงม. 2 เทศกิจ'!E11</f>
        <v>1324700</v>
      </c>
      <c r="E147" s="286">
        <f>'สงม. 2 เทศกิจ'!F11</f>
        <v>669000</v>
      </c>
    </row>
    <row r="148" spans="1:5" hidden="1" x14ac:dyDescent="0.2">
      <c r="A148" s="283" t="s">
        <v>206</v>
      </c>
      <c r="B148" s="284">
        <f t="shared" si="10"/>
        <v>0</v>
      </c>
      <c r="C148" s="284">
        <f>SUM(C149:C150)</f>
        <v>0</v>
      </c>
      <c r="D148" s="284">
        <f t="shared" ref="D148:E148" si="11">SUM(D149:D150)</f>
        <v>0</v>
      </c>
      <c r="E148" s="284">
        <f t="shared" si="11"/>
        <v>0</v>
      </c>
    </row>
    <row r="149" spans="1:5" hidden="1" x14ac:dyDescent="0.2">
      <c r="A149" s="285" t="s">
        <v>48</v>
      </c>
      <c r="B149" s="286">
        <f t="shared" si="10"/>
        <v>0</v>
      </c>
      <c r="C149" s="286">
        <f>'สงม. 2 เทศกิจ'!D89</f>
        <v>0</v>
      </c>
      <c r="D149" s="286">
        <f>'สงม. 2 เทศกิจ'!E89</f>
        <v>0</v>
      </c>
      <c r="E149" s="286">
        <f>'สงม. 2 เทศกิจ'!F89</f>
        <v>0</v>
      </c>
    </row>
    <row r="150" spans="1:5" hidden="1" x14ac:dyDescent="0.2">
      <c r="A150" s="285" t="s">
        <v>49</v>
      </c>
      <c r="B150" s="286">
        <f t="shared" si="10"/>
        <v>0</v>
      </c>
      <c r="C150" s="286">
        <f>'สงม. 2 เทศกิจ'!D94</f>
        <v>0</v>
      </c>
      <c r="D150" s="286">
        <f>'สงม. 2 เทศกิจ'!E94</f>
        <v>0</v>
      </c>
      <c r="E150" s="286">
        <f>'สงม. 2 เทศกิจ'!F94</f>
        <v>0</v>
      </c>
    </row>
    <row r="151" spans="1:5" ht="28.5" thickBot="1" x14ac:dyDescent="0.25">
      <c r="A151" s="289" t="s">
        <v>1</v>
      </c>
      <c r="B151" s="290">
        <f>B145</f>
        <v>2884500</v>
      </c>
      <c r="C151" s="290">
        <f>C145</f>
        <v>890800</v>
      </c>
      <c r="D151" s="290">
        <f>D145</f>
        <v>1324700</v>
      </c>
      <c r="E151" s="290">
        <f>E145</f>
        <v>669000</v>
      </c>
    </row>
    <row r="152" spans="1:5" ht="24.75" thickTop="1" x14ac:dyDescent="0.2"/>
    <row r="153" spans="1:5" x14ac:dyDescent="0.2">
      <c r="A153" s="190" t="s">
        <v>228</v>
      </c>
    </row>
    <row r="164" spans="1:5" x14ac:dyDescent="0.2">
      <c r="A164" s="672" t="s">
        <v>256</v>
      </c>
      <c r="B164" s="672"/>
      <c r="C164" s="672"/>
      <c r="D164" s="672"/>
      <c r="E164" s="672"/>
    </row>
    <row r="165" spans="1:5" ht="19.5" customHeight="1" x14ac:dyDescent="0.2">
      <c r="A165" s="672" t="s">
        <v>224</v>
      </c>
      <c r="B165" s="672"/>
      <c r="C165" s="672"/>
      <c r="D165" s="672"/>
      <c r="E165" s="672"/>
    </row>
    <row r="166" spans="1:5" ht="9" customHeight="1" x14ac:dyDescent="0.2">
      <c r="A166" s="122"/>
      <c r="B166" s="122"/>
      <c r="C166" s="122"/>
      <c r="D166" s="122"/>
      <c r="E166" s="122"/>
    </row>
    <row r="167" spans="1:5" ht="21" customHeight="1" x14ac:dyDescent="0.2">
      <c r="A167" s="122"/>
      <c r="B167" s="122"/>
      <c r="C167" s="122"/>
      <c r="D167" s="122"/>
      <c r="E167" s="278" t="s">
        <v>28</v>
      </c>
    </row>
    <row r="168" spans="1:5" ht="21.95" customHeight="1" x14ac:dyDescent="0.2">
      <c r="A168" s="671" t="s">
        <v>190</v>
      </c>
      <c r="B168" s="239" t="s">
        <v>1</v>
      </c>
      <c r="C168" s="239" t="s">
        <v>191</v>
      </c>
      <c r="D168" s="239" t="s">
        <v>192</v>
      </c>
      <c r="E168" s="239" t="s">
        <v>193</v>
      </c>
    </row>
    <row r="169" spans="1:5" s="240" customFormat="1" ht="21.95" customHeight="1" x14ac:dyDescent="0.2">
      <c r="A169" s="671"/>
      <c r="B169" s="239" t="s">
        <v>2</v>
      </c>
      <c r="C169" s="239" t="s">
        <v>2</v>
      </c>
      <c r="D169" s="239" t="s">
        <v>2</v>
      </c>
      <c r="E169" s="239" t="s">
        <v>2</v>
      </c>
    </row>
    <row r="170" spans="1:5" x14ac:dyDescent="0.2">
      <c r="A170" s="279" t="s">
        <v>182</v>
      </c>
      <c r="B170" s="280"/>
      <c r="C170" s="280"/>
      <c r="D170" s="280"/>
      <c r="E170" s="280"/>
    </row>
    <row r="171" spans="1:5" x14ac:dyDescent="0.2">
      <c r="A171" s="281" t="s">
        <v>194</v>
      </c>
      <c r="B171" s="282" t="e">
        <f t="shared" ref="B171:B180" si="12">SUM(C171:E171)</f>
        <v>#REF!</v>
      </c>
      <c r="C171" s="282" t="e">
        <f>C172+C174+C176+C179</f>
        <v>#REF!</v>
      </c>
      <c r="D171" s="282" t="e">
        <f>D172+D174+D176+D179</f>
        <v>#REF!</v>
      </c>
      <c r="E171" s="282" t="e">
        <f>E172+E174+E176+E179</f>
        <v>#REF!</v>
      </c>
    </row>
    <row r="172" spans="1:5" x14ac:dyDescent="0.2">
      <c r="A172" s="283" t="s">
        <v>207</v>
      </c>
      <c r="B172" s="284">
        <f t="shared" si="12"/>
        <v>1318400</v>
      </c>
      <c r="C172" s="284">
        <f>SUM(C173:C173)</f>
        <v>587400</v>
      </c>
      <c r="D172" s="284">
        <f>SUM(D173:D173)</f>
        <v>369600</v>
      </c>
      <c r="E172" s="284">
        <f>SUM(E173:E173)</f>
        <v>361400</v>
      </c>
    </row>
    <row r="173" spans="1:5" x14ac:dyDescent="0.2">
      <c r="A173" s="285" t="s">
        <v>259</v>
      </c>
      <c r="B173" s="286">
        <f t="shared" si="12"/>
        <v>1318400</v>
      </c>
      <c r="C173" s="286">
        <f>'สงม. 2 โยธา'!D11</f>
        <v>587400</v>
      </c>
      <c r="D173" s="286">
        <f>'สงม. 2 โยธา'!E11</f>
        <v>369600</v>
      </c>
      <c r="E173" s="512">
        <f>'สงม. 2 โยธา'!F11</f>
        <v>361400</v>
      </c>
    </row>
    <row r="174" spans="1:5" x14ac:dyDescent="0.2">
      <c r="A174" s="283" t="s">
        <v>208</v>
      </c>
      <c r="B174" s="284">
        <f t="shared" si="12"/>
        <v>450000</v>
      </c>
      <c r="C174" s="284">
        <f>SUM(C175:C175)</f>
        <v>450000</v>
      </c>
      <c r="D174" s="284">
        <f>SUM(D175:D175)</f>
        <v>0</v>
      </c>
      <c r="E174" s="284">
        <f>SUM(E175:E175)</f>
        <v>0</v>
      </c>
    </row>
    <row r="175" spans="1:5" x14ac:dyDescent="0.2">
      <c r="A175" s="285" t="s">
        <v>259</v>
      </c>
      <c r="B175" s="286">
        <f t="shared" si="12"/>
        <v>450000</v>
      </c>
      <c r="C175" s="286">
        <f>'สงม. 2 โยธา'!D41</f>
        <v>450000</v>
      </c>
      <c r="D175" s="286">
        <f>'สงม. 2 โยธา'!E41</f>
        <v>0</v>
      </c>
      <c r="E175" s="286">
        <f>'สงม. 2 โยธา'!F41</f>
        <v>0</v>
      </c>
    </row>
    <row r="176" spans="1:5" x14ac:dyDescent="0.2">
      <c r="A176" s="283" t="s">
        <v>209</v>
      </c>
      <c r="B176" s="284" t="e">
        <f t="shared" si="12"/>
        <v>#REF!</v>
      </c>
      <c r="C176" s="284" t="e">
        <f>SUM(C177:C178)</f>
        <v>#REF!</v>
      </c>
      <c r="D176" s="284" t="e">
        <f>SUM(D177:D178)</f>
        <v>#REF!</v>
      </c>
      <c r="E176" s="284" t="e">
        <f>SUM(E177:E178)</f>
        <v>#REF!</v>
      </c>
    </row>
    <row r="177" spans="1:5" x14ac:dyDescent="0.2">
      <c r="A177" s="285" t="s">
        <v>259</v>
      </c>
      <c r="B177" s="286">
        <f t="shared" si="12"/>
        <v>19000000</v>
      </c>
      <c r="C177" s="286">
        <f>'สงม. 2 โยธา'!D66</f>
        <v>16500000</v>
      </c>
      <c r="D177" s="286">
        <f>'สงม. 2 โยธา'!E66</f>
        <v>2500000</v>
      </c>
      <c r="E177" s="286">
        <f>'สงม. 2 โยธา'!F66</f>
        <v>0</v>
      </c>
    </row>
    <row r="178" spans="1:5" x14ac:dyDescent="0.2">
      <c r="A178" s="285" t="s">
        <v>330</v>
      </c>
      <c r="B178" s="286" t="e">
        <f t="shared" si="12"/>
        <v>#REF!</v>
      </c>
      <c r="C178" s="286" t="e">
        <f>'สงม. 2 โยธา'!#REF!</f>
        <v>#REF!</v>
      </c>
      <c r="D178" s="286" t="e">
        <f>'สงม. 2 โยธา'!#REF!</f>
        <v>#REF!</v>
      </c>
      <c r="E178" s="286" t="e">
        <f>'สงม. 2 โยธา'!#REF!</f>
        <v>#REF!</v>
      </c>
    </row>
    <row r="179" spans="1:5" x14ac:dyDescent="0.2">
      <c r="A179" s="283" t="s">
        <v>210</v>
      </c>
      <c r="B179" s="284">
        <f t="shared" si="12"/>
        <v>4680100</v>
      </c>
      <c r="C179" s="284">
        <f>SUM(C180:C180)</f>
        <v>4039310</v>
      </c>
      <c r="D179" s="284">
        <f>SUM(D180:D180)</f>
        <v>325000</v>
      </c>
      <c r="E179" s="284">
        <f>SUM(E180:E180)</f>
        <v>315790</v>
      </c>
    </row>
    <row r="180" spans="1:5" x14ac:dyDescent="0.2">
      <c r="A180" s="285" t="s">
        <v>259</v>
      </c>
      <c r="B180" s="297">
        <f t="shared" si="12"/>
        <v>4680100</v>
      </c>
      <c r="C180" s="297">
        <f>'สงม. 2 โยธา'!D92</f>
        <v>4039310</v>
      </c>
      <c r="D180" s="297">
        <f>'สงม. 2 โยธา'!E92</f>
        <v>325000</v>
      </c>
      <c r="E180" s="297">
        <f>'สงม. 2 โยธา'!F92</f>
        <v>315790</v>
      </c>
    </row>
    <row r="181" spans="1:5" ht="28.5" thickBot="1" x14ac:dyDescent="0.25">
      <c r="A181" s="289" t="s">
        <v>1</v>
      </c>
      <c r="B181" s="290" t="e">
        <f>B171</f>
        <v>#REF!</v>
      </c>
      <c r="C181" s="290" t="e">
        <f>C171</f>
        <v>#REF!</v>
      </c>
      <c r="D181" s="290" t="e">
        <f>D171</f>
        <v>#REF!</v>
      </c>
      <c r="E181" s="290" t="e">
        <f>E171</f>
        <v>#REF!</v>
      </c>
    </row>
    <row r="182" spans="1:5" ht="24.75" customHeight="1" thickTop="1" x14ac:dyDescent="0.2">
      <c r="A182" s="513"/>
      <c r="B182" s="295"/>
      <c r="C182" s="295"/>
      <c r="D182" s="295"/>
      <c r="E182" s="295"/>
    </row>
    <row r="183" spans="1:5" x14ac:dyDescent="0.2">
      <c r="A183" s="3" t="s">
        <v>229</v>
      </c>
      <c r="B183" s="300"/>
      <c r="C183" s="300"/>
      <c r="D183" s="300"/>
      <c r="E183" s="300"/>
    </row>
    <row r="184" spans="1:5" x14ac:dyDescent="0.2">
      <c r="A184" s="3"/>
      <c r="B184" s="300"/>
      <c r="C184" s="300"/>
      <c r="D184" s="300"/>
      <c r="E184" s="300"/>
    </row>
    <row r="185" spans="1:5" x14ac:dyDescent="0.2">
      <c r="A185" s="3"/>
      <c r="B185" s="300"/>
      <c r="C185" s="300"/>
      <c r="D185" s="300"/>
      <c r="E185" s="300"/>
    </row>
    <row r="186" spans="1:5" x14ac:dyDescent="0.2">
      <c r="A186" s="3"/>
      <c r="B186" s="300"/>
      <c r="C186" s="300"/>
      <c r="D186" s="300"/>
      <c r="E186" s="300"/>
    </row>
    <row r="187" spans="1:5" x14ac:dyDescent="0.2">
      <c r="A187" s="672" t="s">
        <v>256</v>
      </c>
      <c r="B187" s="672"/>
      <c r="C187" s="672"/>
      <c r="D187" s="672"/>
      <c r="E187" s="672"/>
    </row>
    <row r="188" spans="1:5" ht="19.5" customHeight="1" x14ac:dyDescent="0.2">
      <c r="A188" s="672" t="s">
        <v>224</v>
      </c>
      <c r="B188" s="672"/>
      <c r="C188" s="672"/>
      <c r="D188" s="672"/>
      <c r="E188" s="672"/>
    </row>
    <row r="189" spans="1:5" ht="9" customHeight="1" x14ac:dyDescent="0.2">
      <c r="A189" s="122"/>
      <c r="B189" s="122"/>
      <c r="C189" s="122"/>
      <c r="D189" s="122"/>
      <c r="E189" s="122"/>
    </row>
    <row r="190" spans="1:5" ht="21" customHeight="1" x14ac:dyDescent="0.2">
      <c r="A190" s="122"/>
      <c r="B190" s="122"/>
      <c r="C190" s="122"/>
      <c r="D190" s="122"/>
      <c r="E190" s="278" t="s">
        <v>28</v>
      </c>
    </row>
    <row r="191" spans="1:5" ht="21.95" customHeight="1" x14ac:dyDescent="0.2">
      <c r="A191" s="671" t="s">
        <v>190</v>
      </c>
      <c r="B191" s="239" t="s">
        <v>1</v>
      </c>
      <c r="C191" s="239" t="s">
        <v>191</v>
      </c>
      <c r="D191" s="239" t="s">
        <v>192</v>
      </c>
      <c r="E191" s="239" t="s">
        <v>193</v>
      </c>
    </row>
    <row r="192" spans="1:5" s="240" customFormat="1" ht="21.95" customHeight="1" x14ac:dyDescent="0.2">
      <c r="A192" s="671"/>
      <c r="B192" s="239" t="s">
        <v>2</v>
      </c>
      <c r="C192" s="239" t="s">
        <v>2</v>
      </c>
      <c r="D192" s="239" t="s">
        <v>2</v>
      </c>
      <c r="E192" s="239" t="s">
        <v>2</v>
      </c>
    </row>
    <row r="193" spans="1:7" x14ac:dyDescent="0.2">
      <c r="A193" s="293" t="s">
        <v>184</v>
      </c>
      <c r="B193" s="294"/>
      <c r="C193" s="294"/>
      <c r="D193" s="294"/>
      <c r="E193" s="294"/>
    </row>
    <row r="194" spans="1:7" x14ac:dyDescent="0.2">
      <c r="A194" s="281" t="s">
        <v>194</v>
      </c>
      <c r="B194" s="282" t="e">
        <f>B195+B197</f>
        <v>#REF!</v>
      </c>
      <c r="C194" s="282" t="e">
        <f>C195+C197</f>
        <v>#REF!</v>
      </c>
      <c r="D194" s="282" t="e">
        <f>D195+D197</f>
        <v>#REF!</v>
      </c>
      <c r="E194" s="282" t="e">
        <f>E195+E197</f>
        <v>#REF!</v>
      </c>
    </row>
    <row r="195" spans="1:7" x14ac:dyDescent="0.2">
      <c r="A195" s="283" t="s">
        <v>211</v>
      </c>
      <c r="B195" s="284">
        <f t="shared" ref="B195:B200" si="13">SUM(C195:E195)</f>
        <v>19238300</v>
      </c>
      <c r="C195" s="284">
        <f>SUM(C196:C196)</f>
        <v>7163900</v>
      </c>
      <c r="D195" s="284">
        <f>SUM(D196:D196)</f>
        <v>6060600</v>
      </c>
      <c r="E195" s="284">
        <f>SUM(E196:E196)</f>
        <v>6013800</v>
      </c>
    </row>
    <row r="196" spans="1:7" x14ac:dyDescent="0.2">
      <c r="A196" s="285" t="s">
        <v>259</v>
      </c>
      <c r="B196" s="286">
        <f t="shared" si="13"/>
        <v>19238300</v>
      </c>
      <c r="C196" s="286">
        <f>'สงม. 2 พัฒนาชุมชน'!D11</f>
        <v>7163900</v>
      </c>
      <c r="D196" s="286">
        <f>'สงม. 2 พัฒนาชุมชน'!E11</f>
        <v>6060600</v>
      </c>
      <c r="E196" s="286">
        <f>'สงม. 2 พัฒนาชุมชน'!F11</f>
        <v>6013800</v>
      </c>
    </row>
    <row r="197" spans="1:7" x14ac:dyDescent="0.2">
      <c r="A197" s="283" t="s">
        <v>212</v>
      </c>
      <c r="B197" s="284" t="e">
        <f t="shared" si="13"/>
        <v>#REF!</v>
      </c>
      <c r="C197" s="284" t="e">
        <f>SUM(C198:C199)</f>
        <v>#REF!</v>
      </c>
      <c r="D197" s="284" t="e">
        <f t="shared" ref="D197:E197" si="14">SUM(D198:D199)</f>
        <v>#REF!</v>
      </c>
      <c r="E197" s="284" t="e">
        <f t="shared" si="14"/>
        <v>#REF!</v>
      </c>
    </row>
    <row r="198" spans="1:7" x14ac:dyDescent="0.2">
      <c r="A198" s="285" t="s">
        <v>259</v>
      </c>
      <c r="B198" s="286">
        <f t="shared" si="13"/>
        <v>5327900</v>
      </c>
      <c r="C198" s="286">
        <f>'สงม. 2 พัฒนาชุมชน'!D62</f>
        <v>1786000</v>
      </c>
      <c r="D198" s="286">
        <f>'สงม. 2 พัฒนาชุมชน'!E62</f>
        <v>1786000</v>
      </c>
      <c r="E198" s="286">
        <f>'สงม. 2 พัฒนาชุมชน'!F62</f>
        <v>1755900</v>
      </c>
    </row>
    <row r="199" spans="1:7" x14ac:dyDescent="0.2">
      <c r="A199" s="285" t="s">
        <v>330</v>
      </c>
      <c r="B199" s="286" t="e">
        <f t="shared" si="13"/>
        <v>#REF!</v>
      </c>
      <c r="C199" s="286" t="e">
        <f>'สงม. 2 พัฒนาชุมชน'!D70-C200</f>
        <v>#REF!</v>
      </c>
      <c r="D199" s="286" t="e">
        <f>'สงม. 2 พัฒนาชุมชน'!E70-D200</f>
        <v>#REF!</v>
      </c>
      <c r="E199" s="286" t="e">
        <f>'สงม. 2 พัฒนาชุมชน'!F70-E200</f>
        <v>#REF!</v>
      </c>
      <c r="G199" s="287" t="e">
        <f>B199+B200</f>
        <v>#REF!</v>
      </c>
    </row>
    <row r="200" spans="1:7" x14ac:dyDescent="0.2">
      <c r="A200" s="288" t="s">
        <v>197</v>
      </c>
      <c r="B200" s="282" t="e">
        <f t="shared" si="13"/>
        <v>#REF!</v>
      </c>
      <c r="C200" s="282" t="e">
        <f>'สงม. 2 พัฒนาชุมชน'!#REF!+โครงยุทธศาสตร์!D14+โครงยุทธศาสตร์!D21</f>
        <v>#REF!</v>
      </c>
      <c r="D200" s="282" t="e">
        <f>'สงม. 2 พัฒนาชุมชน'!#REF!+โครงยุทธศาสตร์!E14+โครงยุทธศาสตร์!E21</f>
        <v>#REF!</v>
      </c>
      <c r="E200" s="282" t="e">
        <f>'สงม. 2 พัฒนาชุมชน'!#REF!+โครงยุทธศาสตร์!F14+โครงยุทธศาสตร์!F21</f>
        <v>#REF!</v>
      </c>
      <c r="G200" s="287" t="e">
        <f>C200+C199</f>
        <v>#REF!</v>
      </c>
    </row>
    <row r="201" spans="1:7" ht="28.5" thickBot="1" x14ac:dyDescent="0.25">
      <c r="A201" s="289" t="s">
        <v>1</v>
      </c>
      <c r="B201" s="290" t="e">
        <f>SUM(C201:E201)</f>
        <v>#REF!</v>
      </c>
      <c r="C201" s="290" t="e">
        <f>C194+C200</f>
        <v>#REF!</v>
      </c>
      <c r="D201" s="290" t="e">
        <f t="shared" ref="D201:E201" si="15">D194+D200</f>
        <v>#REF!</v>
      </c>
      <c r="E201" s="290" t="e">
        <f t="shared" si="15"/>
        <v>#REF!</v>
      </c>
    </row>
    <row r="202" spans="1:7" ht="24.75" thickTop="1" x14ac:dyDescent="0.2">
      <c r="A202" s="298"/>
      <c r="B202" s="300"/>
      <c r="C202" s="300"/>
      <c r="D202" s="300"/>
      <c r="E202" s="300"/>
    </row>
    <row r="203" spans="1:7" x14ac:dyDescent="0.2">
      <c r="A203" s="3" t="s">
        <v>231</v>
      </c>
      <c r="B203" s="300" t="e">
        <f>B201-'สงม.1 (รวม)'!B53</f>
        <v>#REF!</v>
      </c>
      <c r="C203" s="300" t="e">
        <f>C201-'สงม.1 (รวม)'!C53</f>
        <v>#REF!</v>
      </c>
      <c r="D203" s="300" t="e">
        <f>D201-'สงม.1 (รวม)'!D53</f>
        <v>#REF!</v>
      </c>
      <c r="E203" s="300" t="e">
        <f>E201-'สงม.1 (รวม)'!E53</f>
        <v>#REF!</v>
      </c>
    </row>
    <row r="204" spans="1:7" x14ac:dyDescent="0.2">
      <c r="A204" s="298"/>
      <c r="B204" s="300"/>
      <c r="C204" s="300"/>
      <c r="D204" s="300"/>
      <c r="E204" s="300"/>
    </row>
    <row r="205" spans="1:7" x14ac:dyDescent="0.2">
      <c r="A205" s="298"/>
      <c r="B205" s="300"/>
      <c r="C205" s="300"/>
      <c r="D205" s="300"/>
      <c r="E205" s="300"/>
    </row>
    <row r="206" spans="1:7" x14ac:dyDescent="0.2">
      <c r="A206" s="298"/>
      <c r="B206" s="300"/>
      <c r="C206" s="300"/>
      <c r="D206" s="300"/>
      <c r="E206" s="300"/>
    </row>
    <row r="207" spans="1:7" x14ac:dyDescent="0.2">
      <c r="A207" s="298"/>
      <c r="B207" s="300"/>
      <c r="C207" s="300"/>
      <c r="D207" s="300"/>
      <c r="E207" s="300"/>
    </row>
    <row r="208" spans="1:7" x14ac:dyDescent="0.2">
      <c r="A208" s="298"/>
      <c r="B208" s="300"/>
      <c r="C208" s="300"/>
      <c r="D208" s="300"/>
      <c r="E208" s="300"/>
    </row>
    <row r="209" spans="1:7" x14ac:dyDescent="0.2">
      <c r="A209" s="298"/>
      <c r="B209" s="300"/>
      <c r="C209" s="300"/>
      <c r="D209" s="300"/>
      <c r="E209" s="300"/>
    </row>
    <row r="210" spans="1:7" x14ac:dyDescent="0.2">
      <c r="A210" s="672" t="s">
        <v>256</v>
      </c>
      <c r="B210" s="672"/>
      <c r="C210" s="672"/>
      <c r="D210" s="672"/>
      <c r="E210" s="672"/>
    </row>
    <row r="211" spans="1:7" ht="19.5" customHeight="1" x14ac:dyDescent="0.2">
      <c r="A211" s="672" t="s">
        <v>224</v>
      </c>
      <c r="B211" s="672"/>
      <c r="C211" s="672"/>
      <c r="D211" s="672"/>
      <c r="E211" s="672"/>
    </row>
    <row r="212" spans="1:7" ht="9" customHeight="1" x14ac:dyDescent="0.2">
      <c r="A212" s="122"/>
      <c r="B212" s="122"/>
      <c r="C212" s="122"/>
      <c r="D212" s="122"/>
      <c r="E212" s="122"/>
    </row>
    <row r="213" spans="1:7" ht="21" customHeight="1" x14ac:dyDescent="0.2">
      <c r="A213" s="122"/>
      <c r="B213" s="122"/>
      <c r="C213" s="122"/>
      <c r="D213" s="122"/>
      <c r="E213" s="278" t="s">
        <v>28</v>
      </c>
    </row>
    <row r="214" spans="1:7" ht="21.95" customHeight="1" x14ac:dyDescent="0.2">
      <c r="A214" s="671" t="s">
        <v>190</v>
      </c>
      <c r="B214" s="239" t="s">
        <v>1</v>
      </c>
      <c r="C214" s="239" t="s">
        <v>191</v>
      </c>
      <c r="D214" s="239" t="s">
        <v>192</v>
      </c>
      <c r="E214" s="239" t="s">
        <v>193</v>
      </c>
    </row>
    <row r="215" spans="1:7" s="240" customFormat="1" ht="21.95" customHeight="1" x14ac:dyDescent="0.2">
      <c r="A215" s="671"/>
      <c r="B215" s="239" t="s">
        <v>2</v>
      </c>
      <c r="C215" s="239" t="s">
        <v>2</v>
      </c>
      <c r="D215" s="239" t="s">
        <v>2</v>
      </c>
      <c r="E215" s="239" t="s">
        <v>2</v>
      </c>
    </row>
    <row r="216" spans="1:7" x14ac:dyDescent="0.2">
      <c r="A216" s="279" t="s">
        <v>213</v>
      </c>
      <c r="B216" s="280"/>
      <c r="C216" s="280"/>
      <c r="D216" s="280"/>
      <c r="E216" s="280"/>
    </row>
    <row r="217" spans="1:7" x14ac:dyDescent="0.2">
      <c r="A217" s="281" t="s">
        <v>194</v>
      </c>
      <c r="B217" s="282">
        <f>SUM(C217:E217)</f>
        <v>1061800</v>
      </c>
      <c r="C217" s="282">
        <f>C218+C220+C224</f>
        <v>950000</v>
      </c>
      <c r="D217" s="282">
        <f t="shared" ref="D217:E217" si="16">D218+D220+D224</f>
        <v>42900</v>
      </c>
      <c r="E217" s="282">
        <f t="shared" si="16"/>
        <v>68900</v>
      </c>
    </row>
    <row r="218" spans="1:7" x14ac:dyDescent="0.2">
      <c r="A218" s="283" t="s">
        <v>214</v>
      </c>
      <c r="B218" s="284">
        <f>SUM(C218:E218)</f>
        <v>419000</v>
      </c>
      <c r="C218" s="284">
        <f>C219</f>
        <v>369000</v>
      </c>
      <c r="D218" s="284">
        <f t="shared" ref="D218:E218" si="17">D219</f>
        <v>0</v>
      </c>
      <c r="E218" s="284">
        <f t="shared" si="17"/>
        <v>50000</v>
      </c>
    </row>
    <row r="219" spans="1:7" x14ac:dyDescent="0.2">
      <c r="A219" s="285" t="s">
        <v>259</v>
      </c>
      <c r="B219" s="286">
        <f>SUM(C219:E219)</f>
        <v>419000</v>
      </c>
      <c r="C219" s="286">
        <f>'สงม. 2 สวล.'!D11</f>
        <v>369000</v>
      </c>
      <c r="D219" s="286">
        <f>'สงม. 2 สวล.'!E11</f>
        <v>0</v>
      </c>
      <c r="E219" s="286">
        <f>'สงม. 2 สวล.'!F11</f>
        <v>50000</v>
      </c>
    </row>
    <row r="220" spans="1:7" x14ac:dyDescent="0.2">
      <c r="A220" s="283" t="s">
        <v>215</v>
      </c>
      <c r="B220" s="284">
        <f>SUM(C220:E220)</f>
        <v>336500</v>
      </c>
      <c r="C220" s="284">
        <f>SUM(C221:C222)</f>
        <v>274700</v>
      </c>
      <c r="D220" s="284">
        <f t="shared" ref="D220:E220" si="18">SUM(D221:D222)</f>
        <v>42900</v>
      </c>
      <c r="E220" s="284">
        <f t="shared" si="18"/>
        <v>18900</v>
      </c>
    </row>
    <row r="221" spans="1:7" x14ac:dyDescent="0.2">
      <c r="A221" s="285" t="s">
        <v>259</v>
      </c>
      <c r="B221" s="286">
        <f t="shared" ref="B221:B222" si="19">SUM(C221:E221)</f>
        <v>255600</v>
      </c>
      <c r="C221" s="286">
        <f>'สงม. 2 สวล.'!D39</f>
        <v>230500</v>
      </c>
      <c r="D221" s="286">
        <f>'สงม. 2 สวล.'!E39</f>
        <v>14500</v>
      </c>
      <c r="E221" s="286">
        <f>'สงม. 2 สวล.'!F39</f>
        <v>10600</v>
      </c>
      <c r="G221" s="287" t="e">
        <f>B221+B223</f>
        <v>#REF!</v>
      </c>
    </row>
    <row r="222" spans="1:7" x14ac:dyDescent="0.2">
      <c r="A222" s="285" t="s">
        <v>330</v>
      </c>
      <c r="B222" s="286">
        <f t="shared" si="19"/>
        <v>80900</v>
      </c>
      <c r="C222" s="286">
        <f>'สงม. 2 สวล.'!D48</f>
        <v>44200</v>
      </c>
      <c r="D222" s="286">
        <f>'สงม. 2 สวล.'!E48</f>
        <v>28400</v>
      </c>
      <c r="E222" s="286">
        <f>'สงม. 2 สวล.'!F48</f>
        <v>8300</v>
      </c>
      <c r="G222" s="287"/>
    </row>
    <row r="223" spans="1:7" x14ac:dyDescent="0.2">
      <c r="A223" s="288" t="s">
        <v>197</v>
      </c>
      <c r="B223" s="282" t="e">
        <f t="shared" ref="B223:B227" si="20">SUM(C223:E223)</f>
        <v>#REF!</v>
      </c>
      <c r="C223" s="282" t="e">
        <f>'สงม. 2 สวล.'!#REF!</f>
        <v>#REF!</v>
      </c>
      <c r="D223" s="282" t="e">
        <f>'สงม. 2 สวล.'!#REF!</f>
        <v>#REF!</v>
      </c>
      <c r="E223" s="282" t="e">
        <f>'สงม. 2 สวล.'!#REF!</f>
        <v>#REF!</v>
      </c>
      <c r="G223" s="287" t="e">
        <f>E221+E223</f>
        <v>#REF!</v>
      </c>
    </row>
    <row r="224" spans="1:7" x14ac:dyDescent="0.2">
      <c r="A224" s="283" t="s">
        <v>216</v>
      </c>
      <c r="B224" s="284">
        <f t="shared" si="20"/>
        <v>306300</v>
      </c>
      <c r="C224" s="284">
        <f>SUM(C225:C226)</f>
        <v>306300</v>
      </c>
      <c r="D224" s="284">
        <f t="shared" ref="D224:E224" si="21">SUM(D225:D226)</f>
        <v>0</v>
      </c>
      <c r="E224" s="284">
        <f t="shared" si="21"/>
        <v>0</v>
      </c>
    </row>
    <row r="225" spans="1:7" x14ac:dyDescent="0.2">
      <c r="A225" s="285" t="s">
        <v>259</v>
      </c>
      <c r="B225" s="286">
        <f t="shared" si="20"/>
        <v>306300</v>
      </c>
      <c r="C225" s="286">
        <f>'สงม. 2 สวล.'!D66</f>
        <v>306300</v>
      </c>
      <c r="D225" s="286">
        <f>'สงม. 2 สวล.'!E66</f>
        <v>0</v>
      </c>
      <c r="E225" s="286">
        <f>'สงม. 2 สวล.'!F66</f>
        <v>0</v>
      </c>
    </row>
    <row r="226" spans="1:7" x14ac:dyDescent="0.2">
      <c r="A226" s="285" t="s">
        <v>330</v>
      </c>
      <c r="B226" s="286">
        <f t="shared" si="20"/>
        <v>0</v>
      </c>
      <c r="C226" s="297">
        <f>โครงยุทธศาสตร์!D26</f>
        <v>0</v>
      </c>
      <c r="D226" s="297">
        <f>โครงยุทธศาสตร์!E26</f>
        <v>0</v>
      </c>
      <c r="E226" s="297">
        <f>โครงยุทธศาสตร์!F26</f>
        <v>0</v>
      </c>
    </row>
    <row r="227" spans="1:7" x14ac:dyDescent="0.2">
      <c r="A227" s="291" t="s">
        <v>197</v>
      </c>
      <c r="B227" s="292" t="e">
        <f t="shared" si="20"/>
        <v>#REF!</v>
      </c>
      <c r="C227" s="292" t="e">
        <f>'สงม. 2 สวล.'!#REF!</f>
        <v>#REF!</v>
      </c>
      <c r="D227" s="292" t="e">
        <f>'สงม. 2 สวล.'!#REF!</f>
        <v>#REF!</v>
      </c>
      <c r="E227" s="292" t="e">
        <f>'สงม. 2 สวล.'!#REF!</f>
        <v>#REF!</v>
      </c>
    </row>
    <row r="228" spans="1:7" ht="28.5" thickBot="1" x14ac:dyDescent="0.25">
      <c r="A228" s="289" t="s">
        <v>1</v>
      </c>
      <c r="B228" s="290" t="e">
        <f>SUM(C228:E228)</f>
        <v>#REF!</v>
      </c>
      <c r="C228" s="290" t="e">
        <f>C217+C223+C227</f>
        <v>#REF!</v>
      </c>
      <c r="D228" s="290" t="e">
        <f t="shared" ref="D228:E228" si="22">D217+D223+D227</f>
        <v>#REF!</v>
      </c>
      <c r="E228" s="290" t="e">
        <f t="shared" si="22"/>
        <v>#REF!</v>
      </c>
      <c r="G228" s="287" t="e">
        <f>B225+B227</f>
        <v>#REF!</v>
      </c>
    </row>
    <row r="229" spans="1:7" ht="24.75" thickTop="1" x14ac:dyDescent="0.2">
      <c r="A229" s="188"/>
      <c r="B229" s="295"/>
      <c r="C229" s="295"/>
      <c r="D229" s="295"/>
      <c r="E229" s="295"/>
    </row>
    <row r="230" spans="1:7" x14ac:dyDescent="0.2">
      <c r="A230" s="3" t="s">
        <v>230</v>
      </c>
      <c r="B230" s="295"/>
      <c r="C230" s="295"/>
      <c r="D230" s="295"/>
      <c r="E230" s="295"/>
    </row>
    <row r="231" spans="1:7" x14ac:dyDescent="0.2">
      <c r="A231" s="3"/>
      <c r="B231" s="295"/>
      <c r="C231" s="295"/>
      <c r="D231" s="295"/>
      <c r="E231" s="295"/>
    </row>
    <row r="232" spans="1:7" x14ac:dyDescent="0.2">
      <c r="A232" s="3"/>
      <c r="B232" s="295"/>
      <c r="C232" s="295"/>
      <c r="D232" s="295"/>
      <c r="E232" s="295"/>
    </row>
    <row r="233" spans="1:7" x14ac:dyDescent="0.2">
      <c r="A233" s="3"/>
      <c r="B233" s="295"/>
      <c r="C233" s="295"/>
      <c r="D233" s="295"/>
      <c r="E233" s="295"/>
    </row>
    <row r="234" spans="1:7" x14ac:dyDescent="0.2">
      <c r="A234" s="188"/>
      <c r="B234" s="295"/>
      <c r="C234" s="295"/>
      <c r="D234" s="295"/>
      <c r="E234" s="295"/>
    </row>
    <row r="235" spans="1:7" x14ac:dyDescent="0.2">
      <c r="A235" s="672" t="s">
        <v>256</v>
      </c>
      <c r="B235" s="672"/>
      <c r="C235" s="672"/>
      <c r="D235" s="672"/>
      <c r="E235" s="672"/>
    </row>
    <row r="236" spans="1:7" ht="19.5" customHeight="1" x14ac:dyDescent="0.2">
      <c r="A236" s="672" t="s">
        <v>224</v>
      </c>
      <c r="B236" s="672"/>
      <c r="C236" s="672"/>
      <c r="D236" s="672"/>
      <c r="E236" s="672"/>
    </row>
    <row r="237" spans="1:7" ht="9" customHeight="1" x14ac:dyDescent="0.2">
      <c r="A237" s="122"/>
      <c r="B237" s="122"/>
      <c r="C237" s="122"/>
      <c r="D237" s="122"/>
      <c r="E237" s="122"/>
    </row>
    <row r="238" spans="1:7" ht="21" customHeight="1" x14ac:dyDescent="0.2">
      <c r="A238" s="122"/>
      <c r="B238" s="122"/>
      <c r="C238" s="122"/>
      <c r="D238" s="122"/>
      <c r="E238" s="278" t="s">
        <v>28</v>
      </c>
    </row>
    <row r="239" spans="1:7" ht="21.95" customHeight="1" x14ac:dyDescent="0.2">
      <c r="A239" s="671" t="s">
        <v>190</v>
      </c>
      <c r="B239" s="239" t="s">
        <v>1</v>
      </c>
      <c r="C239" s="239" t="s">
        <v>191</v>
      </c>
      <c r="D239" s="239" t="s">
        <v>192</v>
      </c>
      <c r="E239" s="239" t="s">
        <v>193</v>
      </c>
    </row>
    <row r="240" spans="1:7" s="240" customFormat="1" ht="21.95" customHeight="1" x14ac:dyDescent="0.2">
      <c r="A240" s="671"/>
      <c r="B240" s="239" t="s">
        <v>2</v>
      </c>
      <c r="C240" s="239" t="s">
        <v>2</v>
      </c>
      <c r="D240" s="239" t="s">
        <v>2</v>
      </c>
      <c r="E240" s="239" t="s">
        <v>2</v>
      </c>
    </row>
    <row r="241" spans="1:8" x14ac:dyDescent="0.2">
      <c r="A241" s="293" t="s">
        <v>217</v>
      </c>
      <c r="B241" s="294"/>
      <c r="C241" s="294"/>
      <c r="D241" s="294"/>
      <c r="E241" s="294"/>
    </row>
    <row r="242" spans="1:8" x14ac:dyDescent="0.2">
      <c r="A242" s="281" t="s">
        <v>194</v>
      </c>
      <c r="B242" s="282" t="e">
        <f>SUM(C242:E242)</f>
        <v>#REF!</v>
      </c>
      <c r="C242" s="282" t="e">
        <f>C243+C246</f>
        <v>#REF!</v>
      </c>
      <c r="D242" s="282" t="e">
        <f>D243+D246</f>
        <v>#REF!</v>
      </c>
      <c r="E242" s="282" t="e">
        <f>E243+E246</f>
        <v>#REF!</v>
      </c>
    </row>
    <row r="243" spans="1:8" x14ac:dyDescent="0.2">
      <c r="A243" s="283" t="s">
        <v>218</v>
      </c>
      <c r="B243" s="284">
        <f>SUM(C243:E243)</f>
        <v>22055100</v>
      </c>
      <c r="C243" s="284">
        <f>SUM(C244:C245)</f>
        <v>21057300</v>
      </c>
      <c r="D243" s="284">
        <f>SUM(D244:D245)</f>
        <v>897800</v>
      </c>
      <c r="E243" s="284">
        <f>SUM(E244:E245)</f>
        <v>100000</v>
      </c>
    </row>
    <row r="244" spans="1:8" x14ac:dyDescent="0.2">
      <c r="A244" s="285" t="s">
        <v>259</v>
      </c>
      <c r="B244" s="286">
        <f>SUM(C244:E244)</f>
        <v>22055100</v>
      </c>
      <c r="C244" s="286">
        <f>'สงม. 2 ศึกษา'!D11</f>
        <v>21057300</v>
      </c>
      <c r="D244" s="286">
        <f>'สงม. 2 ศึกษา'!E11</f>
        <v>897800</v>
      </c>
      <c r="E244" s="286">
        <f>'สงม. 2 ศึกษา'!F11</f>
        <v>100000</v>
      </c>
    </row>
    <row r="245" spans="1:8" x14ac:dyDescent="0.2">
      <c r="A245" s="285" t="s">
        <v>331</v>
      </c>
      <c r="B245" s="286">
        <f t="shared" ref="B245" si="23">SUM(C245:E245)</f>
        <v>0</v>
      </c>
      <c r="C245" s="286"/>
      <c r="D245" s="286"/>
      <c r="E245" s="286"/>
    </row>
    <row r="246" spans="1:8" x14ac:dyDescent="0.2">
      <c r="A246" s="283" t="s">
        <v>219</v>
      </c>
      <c r="B246" s="284" t="e">
        <f>SUM(C246:E246)</f>
        <v>#REF!</v>
      </c>
      <c r="C246" s="284" t="e">
        <f>SUM(C247:C249)</f>
        <v>#REF!</v>
      </c>
      <c r="D246" s="284" t="e">
        <f>SUM(D247:D249)</f>
        <v>#REF!</v>
      </c>
      <c r="E246" s="284" t="e">
        <f>SUM(E247:E249)</f>
        <v>#REF!</v>
      </c>
    </row>
    <row r="247" spans="1:8" x14ac:dyDescent="0.2">
      <c r="A247" s="285" t="s">
        <v>259</v>
      </c>
      <c r="B247" s="286">
        <f>SUM(C247:E247)</f>
        <v>40659500</v>
      </c>
      <c r="C247" s="286">
        <f>'สงม. 2 ศึกษา'!D65</f>
        <v>8099300</v>
      </c>
      <c r="D247" s="286">
        <f>'สงม. 2 ศึกษา'!E65</f>
        <v>24484200</v>
      </c>
      <c r="E247" s="286">
        <f>'สงม. 2 ศึกษา'!F65</f>
        <v>8076000</v>
      </c>
    </row>
    <row r="248" spans="1:8" x14ac:dyDescent="0.2">
      <c r="A248" s="285" t="s">
        <v>332</v>
      </c>
      <c r="B248" s="286">
        <f>SUM(C248:E248)</f>
        <v>48810000</v>
      </c>
      <c r="C248" s="286">
        <f>'สงม. 2 ศึกษา'!D87</f>
        <v>29421000</v>
      </c>
      <c r="D248" s="286">
        <f>'สงม. 2 ศึกษา'!E87</f>
        <v>13000000</v>
      </c>
      <c r="E248" s="286">
        <f>'สงม. 2 ศึกษา'!F87</f>
        <v>6389000</v>
      </c>
      <c r="G248" s="287" t="e">
        <f>G249-G252</f>
        <v>#REF!</v>
      </c>
    </row>
    <row r="249" spans="1:8" x14ac:dyDescent="0.2">
      <c r="A249" s="285" t="s">
        <v>53</v>
      </c>
      <c r="B249" s="286" t="e">
        <f>SUM(C249:E249)</f>
        <v>#REF!</v>
      </c>
      <c r="C249" s="286" t="e">
        <f>'สงม. 2 ศึกษา'!#REF!+'สงม. 2 ศึกษา'!D93+'สงม. 2 ศึกษา'!D95+'สงม. 2 ศึกษา'!D97+'สงม. 2 ศึกษา'!#REF!+'สงม. 2 ศึกษา'!D101+'สงม. 2 ศึกษา'!D103+'สงม. 2 ศึกษา'!#REF!+'สงม. 2 ศึกษา'!D201</f>
        <v>#REF!</v>
      </c>
      <c r="D249" s="286" t="e">
        <f>'สงม. 2 ศึกษา'!#REF!+'สงม. 2 ศึกษา'!E93+'สงม. 2 ศึกษา'!E95+'สงม. 2 ศึกษา'!E97+'สงม. 2 ศึกษา'!#REF!+'สงม. 2 ศึกษา'!E101+'สงม. 2 ศึกษา'!E103+'สงม. 2 ศึกษา'!#REF!+'สงม. 2 ศึกษา'!E201</f>
        <v>#REF!</v>
      </c>
      <c r="E249" s="286" t="e">
        <f>'สงม. 2 ศึกษา'!#REF!+'สงม. 2 ศึกษา'!F93+'สงม. 2 ศึกษา'!F95+'สงม. 2 ศึกษา'!F97+'สงม. 2 ศึกษา'!#REF!+'สงม. 2 ศึกษา'!F101+'สงม. 2 ศึกษา'!F103+'สงม. 2 ศึกษา'!#REF!+'สงม. 2 ศึกษา'!F201</f>
        <v>#REF!</v>
      </c>
      <c r="G249" s="287" t="e">
        <f>B249+B250</f>
        <v>#REF!</v>
      </c>
    </row>
    <row r="250" spans="1:8" x14ac:dyDescent="0.2">
      <c r="A250" s="288" t="s">
        <v>197</v>
      </c>
      <c r="B250" s="282" t="e">
        <f>SUM(C250:E250)</f>
        <v>#REF!</v>
      </c>
      <c r="C250" s="282" t="e">
        <f>'สงม. 2 ศึกษา'!D203+'สงม. 2 ศึกษา'!D205+'สงม. 2 ศึกษา'!D207+'สงม. 2 ศึกษา'!D209+'สงม. 2 ศึกษา'!#REF!+'สงม. 2 ศึกษา'!D105+'สงม. 2 ศึกษา'!#REF!+'สงม. 2 ศึกษา'!D109+'สงม. 2 ศึกษา'!D107+'สงม. 2 ศึกษา'!#REF!+'สงม. 2 ศึกษา'!#REF!+'สงม. 2 ศึกษา'!#REF!</f>
        <v>#REF!</v>
      </c>
      <c r="D250" s="282" t="e">
        <f>'สงม. 2 ศึกษา'!E203+'สงม. 2 ศึกษา'!E205+'สงม. 2 ศึกษา'!E207+'สงม. 2 ศึกษา'!E209+'สงม. 2 ศึกษา'!#REF!+'สงม. 2 ศึกษา'!E105+'สงม. 2 ศึกษา'!#REF!+'สงม. 2 ศึกษา'!E109+'สงม. 2 ศึกษา'!E107+'สงม. 2 ศึกษา'!#REF!+'สงม. 2 ศึกษา'!#REF!+'สงม. 2 ศึกษา'!#REF!</f>
        <v>#REF!</v>
      </c>
      <c r="E250" s="282" t="e">
        <f>'สงม. 2 ศึกษา'!F203+'สงม. 2 ศึกษา'!F205+'สงม. 2 ศึกษา'!F207+'สงม. 2 ศึกษา'!F209+'สงม. 2 ศึกษา'!#REF!+'สงม. 2 ศึกษา'!F105+'สงม. 2 ศึกษา'!#REF!+'สงม. 2 ศึกษา'!F109+'สงม. 2 ศึกษา'!F107+'สงม. 2 ศึกษา'!#REF!+'สงม. 2 ศึกษา'!#REF!+'สงม. 2 ศึกษา'!#REF!</f>
        <v>#REF!</v>
      </c>
      <c r="G250" s="287" t="e">
        <f>C246+C250</f>
        <v>#REF!</v>
      </c>
      <c r="H250" s="287" t="e">
        <f>B242+B250</f>
        <v>#REF!</v>
      </c>
    </row>
    <row r="251" spans="1:8" ht="28.5" thickBot="1" x14ac:dyDescent="0.25">
      <c r="A251" s="289" t="s">
        <v>1</v>
      </c>
      <c r="B251" s="290" t="e">
        <f>B242+B250</f>
        <v>#REF!</v>
      </c>
      <c r="C251" s="290" t="e">
        <f>C242+C250</f>
        <v>#REF!</v>
      </c>
      <c r="D251" s="290" t="e">
        <f>D242+D250</f>
        <v>#REF!</v>
      </c>
      <c r="E251" s="290" t="e">
        <f>E242+E250</f>
        <v>#REF!</v>
      </c>
    </row>
    <row r="252" spans="1:8" ht="24.75" thickTop="1" x14ac:dyDescent="0.2">
      <c r="G252" s="321">
        <f>'สงม. 2 ศึกษา'!C91</f>
        <v>6041000</v>
      </c>
      <c r="H252" s="321">
        <f>'สงม. 2 ศึกษา'!D91</f>
        <v>886600</v>
      </c>
    </row>
    <row r="253" spans="1:8" x14ac:dyDescent="0.2">
      <c r="A253" s="3" t="s">
        <v>260</v>
      </c>
      <c r="H253" s="321" t="e">
        <f>C249+C250</f>
        <v>#REF!</v>
      </c>
    </row>
    <row r="259" spans="2:5" x14ac:dyDescent="0.2">
      <c r="B259" s="277" t="e">
        <f>B10+B37+B77+B99+B130+B151+B181+B201+B228+B251+B55</f>
        <v>#REF!</v>
      </c>
      <c r="C259" s="277" t="e">
        <f t="shared" ref="C259:E259" si="24">C10+C37+C77+C99+C130+C151+C181+C201+C228+C251+C55</f>
        <v>#REF!</v>
      </c>
      <c r="D259" s="277" t="e">
        <f t="shared" si="24"/>
        <v>#REF!</v>
      </c>
      <c r="E259" s="277" t="e">
        <f t="shared" si="24"/>
        <v>#REF!</v>
      </c>
    </row>
    <row r="260" spans="2:5" x14ac:dyDescent="0.2">
      <c r="B260" s="287"/>
      <c r="C260" s="287"/>
      <c r="D260" s="287"/>
      <c r="E260" s="287"/>
    </row>
    <row r="261" spans="2:5" x14ac:dyDescent="0.2">
      <c r="B261" s="287"/>
      <c r="C261" s="287"/>
      <c r="D261" s="287"/>
      <c r="E261" s="287"/>
    </row>
  </sheetData>
  <mergeCells count="33">
    <mergeCell ref="A93:A94"/>
    <mergeCell ref="A1:E1"/>
    <mergeCell ref="A2:E2"/>
    <mergeCell ref="A5:A6"/>
    <mergeCell ref="A45:E45"/>
    <mergeCell ref="A46:E46"/>
    <mergeCell ref="A49:A50"/>
    <mergeCell ref="A67:E67"/>
    <mergeCell ref="A68:E68"/>
    <mergeCell ref="A71:A72"/>
    <mergeCell ref="A89:E89"/>
    <mergeCell ref="A90:E90"/>
    <mergeCell ref="A23:E23"/>
    <mergeCell ref="A24:E24"/>
    <mergeCell ref="A27:A28"/>
    <mergeCell ref="A165:E165"/>
    <mergeCell ref="A164:E164"/>
    <mergeCell ref="A168:A169"/>
    <mergeCell ref="A187:E187"/>
    <mergeCell ref="A111:E111"/>
    <mergeCell ref="A112:E112"/>
    <mergeCell ref="A115:A116"/>
    <mergeCell ref="A138:E138"/>
    <mergeCell ref="A139:E139"/>
    <mergeCell ref="A142:A143"/>
    <mergeCell ref="A236:E236"/>
    <mergeCell ref="A239:A240"/>
    <mergeCell ref="A188:E188"/>
    <mergeCell ref="A191:A192"/>
    <mergeCell ref="A210:E210"/>
    <mergeCell ref="A211:E211"/>
    <mergeCell ref="A214:A215"/>
    <mergeCell ref="A235:E235"/>
  </mergeCells>
  <pageMargins left="0.59055118110236227" right="0.39370078740157483" top="0.59055118110236227" bottom="0.27559055118110237" header="0.31496062992125984" footer="0.31496062992125984"/>
  <pageSetup paperSize="9" orientation="landscape" horizontalDpi="4294967295" verticalDpi="4294967295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2BC80E-9F2C-4FA9-A846-59E64E4D19BB}">
  <sheetPr>
    <tabColor rgb="FFFFFF00"/>
  </sheetPr>
  <dimension ref="A1:K26"/>
  <sheetViews>
    <sheetView workbookViewId="0">
      <selection activeCell="A13" sqref="A13"/>
    </sheetView>
  </sheetViews>
  <sheetFormatPr defaultColWidth="9" defaultRowHeight="24" x14ac:dyDescent="0.55000000000000004"/>
  <cols>
    <col min="1" max="1" width="75.625" style="122" customWidth="1"/>
    <col min="2" max="2" width="8.125" style="122" customWidth="1"/>
    <col min="3" max="3" width="21.625" style="220" customWidth="1"/>
    <col min="4" max="6" width="21.625" style="122" customWidth="1"/>
    <col min="7" max="7" width="1.375" style="122" customWidth="1"/>
    <col min="8" max="8" width="12.875" style="489" hidden="1" customWidth="1"/>
    <col min="9" max="9" width="12.875" style="490" hidden="1" customWidth="1"/>
    <col min="10" max="10" width="16.25" style="600" customWidth="1"/>
    <col min="11" max="11" width="11" style="600" customWidth="1"/>
    <col min="12" max="19" width="39.375" style="122" customWidth="1"/>
    <col min="20" max="16384" width="9" style="122"/>
  </cols>
  <sheetData>
    <row r="1" spans="1:11" x14ac:dyDescent="0.55000000000000004">
      <c r="A1" s="672" t="s">
        <v>411</v>
      </c>
      <c r="B1" s="672"/>
      <c r="C1" s="672"/>
      <c r="D1" s="672"/>
      <c r="E1" s="672"/>
      <c r="F1" s="672"/>
      <c r="G1" s="240"/>
    </row>
    <row r="2" spans="1:11" x14ac:dyDescent="0.55000000000000004">
      <c r="A2" s="188" t="s">
        <v>55</v>
      </c>
      <c r="B2" s="188"/>
      <c r="C2" s="189"/>
      <c r="D2" s="188"/>
      <c r="E2" s="188"/>
      <c r="F2" s="188"/>
      <c r="G2" s="188"/>
    </row>
    <row r="3" spans="1:11" hidden="1" x14ac:dyDescent="0.55000000000000004">
      <c r="A3" s="190"/>
      <c r="B3" s="190"/>
      <c r="C3" s="191"/>
      <c r="E3" s="192"/>
      <c r="F3" s="192"/>
      <c r="G3" s="192"/>
    </row>
    <row r="4" spans="1:11" ht="11.25" customHeight="1" x14ac:dyDescent="0.55000000000000004">
      <c r="A4" s="190"/>
      <c r="B4" s="190"/>
      <c r="C4" s="191"/>
      <c r="D4" s="192"/>
      <c r="E4" s="192"/>
      <c r="F4" s="192"/>
      <c r="G4" s="192"/>
    </row>
    <row r="5" spans="1:11" ht="24" customHeight="1" x14ac:dyDescent="0.5">
      <c r="A5" s="675" t="s">
        <v>334</v>
      </c>
      <c r="B5" s="193" t="s">
        <v>5</v>
      </c>
      <c r="C5" s="677" t="s">
        <v>1</v>
      </c>
      <c r="D5" s="679" t="s">
        <v>414</v>
      </c>
      <c r="E5" s="679" t="s">
        <v>415</v>
      </c>
      <c r="F5" s="679" t="s">
        <v>416</v>
      </c>
      <c r="G5" s="526"/>
      <c r="J5" s="643" t="s">
        <v>255</v>
      </c>
      <c r="K5" s="611" t="s">
        <v>381</v>
      </c>
    </row>
    <row r="6" spans="1:11" x14ac:dyDescent="0.55000000000000004">
      <c r="A6" s="676"/>
      <c r="B6" s="194" t="s">
        <v>3</v>
      </c>
      <c r="C6" s="678"/>
      <c r="D6" s="671"/>
      <c r="E6" s="671"/>
      <c r="F6" s="671"/>
      <c r="G6" s="526"/>
      <c r="H6" s="489" t="s">
        <v>255</v>
      </c>
    </row>
    <row r="7" spans="1:11" ht="24" customHeight="1" x14ac:dyDescent="0.55000000000000004">
      <c r="A7" s="203" t="s">
        <v>367</v>
      </c>
      <c r="B7" s="537" t="s">
        <v>2</v>
      </c>
      <c r="C7" s="538">
        <f>SUM(D7:F7)</f>
        <v>4217900</v>
      </c>
      <c r="D7" s="538">
        <f>D9</f>
        <v>4217900</v>
      </c>
      <c r="E7" s="538">
        <f>E9</f>
        <v>0</v>
      </c>
      <c r="F7" s="201">
        <f>F9</f>
        <v>0</v>
      </c>
      <c r="G7" s="526"/>
    </row>
    <row r="8" spans="1:11" ht="24" customHeight="1" x14ac:dyDescent="0.55000000000000004">
      <c r="A8" s="203"/>
      <c r="B8" s="537" t="s">
        <v>3</v>
      </c>
      <c r="C8" s="538"/>
      <c r="D8" s="538"/>
      <c r="E8" s="538"/>
      <c r="F8" s="493"/>
      <c r="G8" s="526"/>
    </row>
    <row r="9" spans="1:11" ht="24" customHeight="1" x14ac:dyDescent="0.55000000000000004">
      <c r="A9" s="199" t="s">
        <v>336</v>
      </c>
      <c r="B9" s="200" t="s">
        <v>2</v>
      </c>
      <c r="C9" s="201">
        <f>SUM(D9:F9)</f>
        <v>4217900</v>
      </c>
      <c r="D9" s="201">
        <f>D11+D15+D17+D19+D13</f>
        <v>4217900</v>
      </c>
      <c r="E9" s="201">
        <f t="shared" ref="E9:F9" si="0">E11+E15+E17+E19+E13</f>
        <v>0</v>
      </c>
      <c r="F9" s="201">
        <f t="shared" si="0"/>
        <v>0</v>
      </c>
      <c r="G9" s="526"/>
    </row>
    <row r="10" spans="1:11" ht="24" customHeight="1" x14ac:dyDescent="0.55000000000000004">
      <c r="A10" s="230" t="s">
        <v>337</v>
      </c>
      <c r="B10" s="200" t="s">
        <v>3</v>
      </c>
      <c r="C10" s="201"/>
      <c r="D10" s="224"/>
      <c r="E10" s="224"/>
      <c r="F10" s="224"/>
      <c r="G10" s="526"/>
    </row>
    <row r="11" spans="1:11" ht="24" customHeight="1" x14ac:dyDescent="0.55000000000000004">
      <c r="A11" s="208" t="s">
        <v>186</v>
      </c>
      <c r="B11" s="241" t="s">
        <v>2</v>
      </c>
      <c r="C11" s="243">
        <f>SUM(D11:F11)</f>
        <v>76000</v>
      </c>
      <c r="D11" s="244">
        <v>76000</v>
      </c>
      <c r="E11" s="244">
        <v>0</v>
      </c>
      <c r="F11" s="244">
        <v>0</v>
      </c>
      <c r="G11" s="526"/>
      <c r="H11" s="489">
        <v>33900</v>
      </c>
      <c r="I11" s="490">
        <f>C11-H11</f>
        <v>42100</v>
      </c>
      <c r="J11" s="600">
        <f>33900+42100</f>
        <v>76000</v>
      </c>
      <c r="K11" s="600">
        <f>D11-J11</f>
        <v>0</v>
      </c>
    </row>
    <row r="12" spans="1:11" ht="24" customHeight="1" x14ac:dyDescent="0.55000000000000004">
      <c r="A12" s="223"/>
      <c r="B12" s="449" t="s">
        <v>3</v>
      </c>
      <c r="C12" s="450"/>
      <c r="D12" s="452"/>
      <c r="E12" s="452"/>
      <c r="F12" s="452"/>
      <c r="G12" s="526"/>
      <c r="K12" s="600">
        <f t="shared" ref="K12:K19" si="1">D12-J12</f>
        <v>0</v>
      </c>
    </row>
    <row r="13" spans="1:11" ht="24" customHeight="1" x14ac:dyDescent="0.55000000000000004">
      <c r="A13" s="208" t="s">
        <v>379</v>
      </c>
      <c r="B13" s="241" t="s">
        <v>2</v>
      </c>
      <c r="C13" s="243">
        <f>SUM(D13:F13)</f>
        <v>133200</v>
      </c>
      <c r="D13" s="244">
        <v>133200</v>
      </c>
      <c r="E13" s="244">
        <v>0</v>
      </c>
      <c r="F13" s="244">
        <v>0</v>
      </c>
      <c r="G13" s="235"/>
      <c r="H13" s="489">
        <v>1084800</v>
      </c>
      <c r="I13" s="490">
        <f>C13-H13</f>
        <v>-951600</v>
      </c>
      <c r="J13" s="600">
        <v>133200</v>
      </c>
      <c r="K13" s="600">
        <f t="shared" si="1"/>
        <v>0</v>
      </c>
    </row>
    <row r="14" spans="1:11" ht="24" customHeight="1" x14ac:dyDescent="0.55000000000000004">
      <c r="A14" s="223"/>
      <c r="B14" s="449" t="s">
        <v>3</v>
      </c>
      <c r="C14" s="450"/>
      <c r="D14" s="452"/>
      <c r="E14" s="452"/>
      <c r="F14" s="452"/>
      <c r="G14" s="235"/>
      <c r="K14" s="600">
        <f t="shared" si="1"/>
        <v>0</v>
      </c>
    </row>
    <row r="15" spans="1:11" ht="24" customHeight="1" x14ac:dyDescent="0.55000000000000004">
      <c r="A15" s="208" t="s">
        <v>335</v>
      </c>
      <c r="B15" s="241" t="s">
        <v>2</v>
      </c>
      <c r="C15" s="243">
        <f>SUM(D15:F15)</f>
        <v>1215900</v>
      </c>
      <c r="D15" s="244">
        <v>1215900</v>
      </c>
      <c r="E15" s="244">
        <v>0</v>
      </c>
      <c r="F15" s="244">
        <v>0</v>
      </c>
      <c r="G15" s="235"/>
      <c r="H15" s="489">
        <v>1084800</v>
      </c>
      <c r="I15" s="490">
        <f>C15-H15</f>
        <v>131100</v>
      </c>
      <c r="J15" s="600">
        <f>20200+117000+161300+725800+10100+181500</f>
        <v>1215900</v>
      </c>
      <c r="K15" s="600">
        <f t="shared" si="1"/>
        <v>0</v>
      </c>
    </row>
    <row r="16" spans="1:11" ht="24" customHeight="1" x14ac:dyDescent="0.55000000000000004">
      <c r="A16" s="223"/>
      <c r="B16" s="449" t="s">
        <v>3</v>
      </c>
      <c r="C16" s="450"/>
      <c r="D16" s="452"/>
      <c r="E16" s="452"/>
      <c r="F16" s="452"/>
      <c r="G16" s="235"/>
      <c r="K16" s="600">
        <f t="shared" si="1"/>
        <v>0</v>
      </c>
    </row>
    <row r="17" spans="1:11" ht="24" customHeight="1" x14ac:dyDescent="0.55000000000000004">
      <c r="A17" s="208" t="s">
        <v>167</v>
      </c>
      <c r="B17" s="241" t="s">
        <v>2</v>
      </c>
      <c r="C17" s="243">
        <f>SUM(D17:F17)</f>
        <v>2694800</v>
      </c>
      <c r="D17" s="244">
        <v>2694800</v>
      </c>
      <c r="E17" s="244">
        <v>0</v>
      </c>
      <c r="F17" s="244">
        <v>0</v>
      </c>
      <c r="G17" s="235"/>
      <c r="H17" s="489">
        <v>2453600</v>
      </c>
      <c r="I17" s="490">
        <f>C17-H17</f>
        <v>241200</v>
      </c>
      <c r="J17" s="600">
        <f>1249200+14400+72000+604800+7200+93600+226800+14400+412400</f>
        <v>2694800</v>
      </c>
      <c r="K17" s="600">
        <f t="shared" si="1"/>
        <v>0</v>
      </c>
    </row>
    <row r="18" spans="1:11" ht="24" customHeight="1" x14ac:dyDescent="0.55000000000000004">
      <c r="A18" s="223"/>
      <c r="B18" s="449" t="s">
        <v>3</v>
      </c>
      <c r="C18" s="450"/>
      <c r="D18" s="452"/>
      <c r="E18" s="452"/>
      <c r="F18" s="452"/>
      <c r="G18" s="235"/>
      <c r="K18" s="600">
        <f t="shared" si="1"/>
        <v>0</v>
      </c>
    </row>
    <row r="19" spans="1:11" ht="24" customHeight="1" x14ac:dyDescent="0.55000000000000004">
      <c r="A19" s="208" t="s">
        <v>328</v>
      </c>
      <c r="B19" s="241" t="s">
        <v>2</v>
      </c>
      <c r="C19" s="243">
        <f>SUM(D19:F19)</f>
        <v>98000</v>
      </c>
      <c r="D19" s="244">
        <v>98000</v>
      </c>
      <c r="E19" s="244">
        <v>0</v>
      </c>
      <c r="F19" s="244">
        <v>0</v>
      </c>
      <c r="G19" s="235"/>
      <c r="H19" s="489">
        <v>98000</v>
      </c>
      <c r="I19" s="490">
        <f>C19-H19</f>
        <v>0</v>
      </c>
      <c r="J19" s="600">
        <v>98000</v>
      </c>
      <c r="K19" s="600">
        <f t="shared" si="1"/>
        <v>0</v>
      </c>
    </row>
    <row r="20" spans="1:11" ht="24" customHeight="1" x14ac:dyDescent="0.55000000000000004">
      <c r="A20" s="223"/>
      <c r="B20" s="449" t="s">
        <v>3</v>
      </c>
      <c r="C20" s="450"/>
      <c r="D20" s="452"/>
      <c r="E20" s="452"/>
      <c r="F20" s="452"/>
      <c r="G20" s="235"/>
    </row>
    <row r="21" spans="1:11" ht="24" customHeight="1" x14ac:dyDescent="0.55000000000000004">
      <c r="A21" s="673" t="s">
        <v>1</v>
      </c>
      <c r="B21" s="225" t="s">
        <v>2</v>
      </c>
      <c r="C21" s="233">
        <f>SUM(C11:C20)</f>
        <v>4217900</v>
      </c>
      <c r="D21" s="233">
        <f t="shared" ref="D21:F21" si="2">SUM(D11:D20)</f>
        <v>4217900</v>
      </c>
      <c r="E21" s="233">
        <f t="shared" si="2"/>
        <v>0</v>
      </c>
      <c r="F21" s="233">
        <f t="shared" si="2"/>
        <v>0</v>
      </c>
      <c r="G21" s="235"/>
    </row>
    <row r="22" spans="1:11" ht="24" customHeight="1" x14ac:dyDescent="0.55000000000000004">
      <c r="A22" s="674"/>
      <c r="B22" s="225" t="s">
        <v>3</v>
      </c>
      <c r="C22" s="233"/>
      <c r="D22" s="234"/>
      <c r="E22" s="234"/>
      <c r="F22" s="234"/>
      <c r="G22" s="235"/>
    </row>
    <row r="23" spans="1:11" x14ac:dyDescent="0.55000000000000004">
      <c r="A23" s="216"/>
      <c r="B23" s="216"/>
      <c r="C23" s="492">
        <f>'สงม.1 (แยกฝ่าย)'!B10-C21</f>
        <v>0</v>
      </c>
      <c r="D23" s="492">
        <f>'สงม.1 (แยกฝ่าย)'!C10-D21</f>
        <v>0</v>
      </c>
      <c r="E23" s="492">
        <f>'สงม.1 (แยกฝ่าย)'!D10-E21</f>
        <v>0</v>
      </c>
      <c r="F23" s="492">
        <f>'สงม.1 (แยกฝ่าย)'!E10-F21</f>
        <v>0</v>
      </c>
      <c r="G23" s="235"/>
    </row>
    <row r="24" spans="1:11" x14ac:dyDescent="0.55000000000000004">
      <c r="A24" s="190" t="s">
        <v>226</v>
      </c>
      <c r="B24" s="216"/>
      <c r="D24" s="492"/>
      <c r="E24" s="235"/>
      <c r="F24" s="235"/>
      <c r="G24" s="235"/>
    </row>
    <row r="25" spans="1:11" ht="27.75" customHeight="1" x14ac:dyDescent="0.55000000000000004">
      <c r="C25" s="121"/>
      <c r="D25" s="121"/>
      <c r="G25" s="235"/>
    </row>
    <row r="26" spans="1:11" ht="24" customHeight="1" x14ac:dyDescent="0.55000000000000004">
      <c r="D26" s="121"/>
    </row>
  </sheetData>
  <mergeCells count="7">
    <mergeCell ref="A21:A22"/>
    <mergeCell ref="A1:F1"/>
    <mergeCell ref="A5:A6"/>
    <mergeCell ref="C5:C6"/>
    <mergeCell ref="D5:D6"/>
    <mergeCell ref="E5:E6"/>
    <mergeCell ref="F5:F6"/>
  </mergeCells>
  <pageMargins left="0.59055118110236227" right="0.39370078740157483" top="0.74803149606299213" bottom="0.19685039370078741" header="0.31496062992125984" footer="0.11811023622047245"/>
  <pageSetup paperSize="9" scale="74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1:I76"/>
  <sheetViews>
    <sheetView topLeftCell="A65" workbookViewId="0">
      <selection activeCell="C74" sqref="C74"/>
    </sheetView>
  </sheetViews>
  <sheetFormatPr defaultColWidth="9" defaultRowHeight="24" x14ac:dyDescent="0.55000000000000004"/>
  <cols>
    <col min="1" max="1" width="80.625" style="122" customWidth="1"/>
    <col min="2" max="2" width="8.125" style="122" customWidth="1"/>
    <col min="3" max="3" width="22.625" style="220" customWidth="1"/>
    <col min="4" max="6" width="22.625" style="122" customWidth="1"/>
    <col min="7" max="7" width="1.375" style="122" customWidth="1"/>
    <col min="8" max="8" width="13.375" style="589" customWidth="1"/>
    <col min="9" max="9" width="12.75" style="12" customWidth="1"/>
    <col min="10" max="16" width="39.375" style="122" customWidth="1"/>
    <col min="17" max="16384" width="9" style="122"/>
  </cols>
  <sheetData>
    <row r="1" spans="1:9" ht="21.95" customHeight="1" x14ac:dyDescent="0.55000000000000004">
      <c r="A1" s="672" t="s">
        <v>411</v>
      </c>
      <c r="B1" s="672"/>
      <c r="C1" s="672"/>
      <c r="D1" s="672"/>
      <c r="E1" s="672"/>
      <c r="F1" s="672"/>
      <c r="G1" s="240"/>
    </row>
    <row r="2" spans="1:9" ht="21" customHeight="1" x14ac:dyDescent="0.55000000000000004">
      <c r="A2" s="188" t="s">
        <v>55</v>
      </c>
      <c r="B2" s="188"/>
      <c r="C2" s="189"/>
      <c r="D2" s="188"/>
      <c r="E2" s="188"/>
      <c r="F2" s="188"/>
      <c r="G2" s="188"/>
    </row>
    <row r="3" spans="1:9" ht="21" customHeight="1" x14ac:dyDescent="0.55000000000000004">
      <c r="A3" s="190" t="s">
        <v>172</v>
      </c>
      <c r="B3" s="190"/>
      <c r="C3" s="191"/>
      <c r="E3" s="192"/>
      <c r="F3" s="192" t="s">
        <v>28</v>
      </c>
      <c r="G3" s="192"/>
    </row>
    <row r="4" spans="1:9" ht="6" customHeight="1" x14ac:dyDescent="0.55000000000000004">
      <c r="A4" s="190"/>
      <c r="B4" s="190"/>
      <c r="C4" s="191"/>
      <c r="D4" s="192"/>
      <c r="E4" s="192"/>
      <c r="F4" s="192"/>
      <c r="G4" s="192"/>
    </row>
    <row r="5" spans="1:9" s="475" customFormat="1" ht="21" customHeight="1" x14ac:dyDescent="0.5">
      <c r="A5" s="675" t="s">
        <v>13</v>
      </c>
      <c r="B5" s="193" t="s">
        <v>5</v>
      </c>
      <c r="C5" s="677" t="s">
        <v>1</v>
      </c>
      <c r="D5" s="679" t="s">
        <v>414</v>
      </c>
      <c r="E5" s="679" t="s">
        <v>415</v>
      </c>
      <c r="F5" s="679" t="s">
        <v>416</v>
      </c>
      <c r="G5" s="526"/>
      <c r="H5" s="612" t="s">
        <v>255</v>
      </c>
      <c r="I5" s="613" t="s">
        <v>381</v>
      </c>
    </row>
    <row r="6" spans="1:9" s="475" customFormat="1" ht="21.75" customHeight="1" x14ac:dyDescent="0.2">
      <c r="A6" s="676"/>
      <c r="B6" s="194" t="s">
        <v>3</v>
      </c>
      <c r="C6" s="678"/>
      <c r="D6" s="671"/>
      <c r="E6" s="671"/>
      <c r="F6" s="671"/>
      <c r="G6" s="526"/>
      <c r="H6" s="614"/>
      <c r="I6" s="298"/>
    </row>
    <row r="7" spans="1:9" ht="21.75" customHeight="1" x14ac:dyDescent="0.55000000000000004">
      <c r="A7" s="195" t="s">
        <v>194</v>
      </c>
      <c r="B7" s="196" t="s">
        <v>2</v>
      </c>
      <c r="C7" s="197">
        <f>SUM(D7:F7)</f>
        <v>4530100</v>
      </c>
      <c r="D7" s="197">
        <f>D9</f>
        <v>4080400</v>
      </c>
      <c r="E7" s="197">
        <f>E9</f>
        <v>266000</v>
      </c>
      <c r="F7" s="226">
        <f>F9</f>
        <v>183700</v>
      </c>
      <c r="G7" s="526"/>
    </row>
    <row r="8" spans="1:9" ht="21.75" customHeight="1" x14ac:dyDescent="0.55000000000000004">
      <c r="A8" s="195"/>
      <c r="B8" s="196" t="s">
        <v>3</v>
      </c>
      <c r="C8" s="197"/>
      <c r="D8" s="197"/>
      <c r="E8" s="197"/>
      <c r="F8" s="214"/>
      <c r="G8" s="526"/>
    </row>
    <row r="9" spans="1:9" ht="21.75" customHeight="1" x14ac:dyDescent="0.55000000000000004">
      <c r="A9" s="199" t="s">
        <v>368</v>
      </c>
      <c r="B9" s="200" t="s">
        <v>2</v>
      </c>
      <c r="C9" s="201">
        <f>SUM(D9:F9)</f>
        <v>4530100</v>
      </c>
      <c r="D9" s="201">
        <f>D11</f>
        <v>4080400</v>
      </c>
      <c r="E9" s="201">
        <f t="shared" ref="E9:F9" si="0">E11</f>
        <v>266000</v>
      </c>
      <c r="F9" s="201">
        <f t="shared" si="0"/>
        <v>183700</v>
      </c>
      <c r="G9" s="526"/>
      <c r="H9" s="589">
        <f>C9-(4530100+983000)</f>
        <v>-983000</v>
      </c>
    </row>
    <row r="10" spans="1:9" ht="21.75" customHeight="1" x14ac:dyDescent="0.55000000000000004">
      <c r="A10" s="203"/>
      <c r="B10" s="200" t="s">
        <v>3</v>
      </c>
      <c r="C10" s="201"/>
      <c r="D10" s="224"/>
      <c r="E10" s="224"/>
      <c r="F10" s="224"/>
      <c r="G10" s="526"/>
    </row>
    <row r="11" spans="1:9" ht="21.95" customHeight="1" x14ac:dyDescent="0.55000000000000004">
      <c r="A11" s="204" t="s">
        <v>338</v>
      </c>
      <c r="B11" s="525" t="s">
        <v>2</v>
      </c>
      <c r="C11" s="248">
        <f>SUM(C15:C29)</f>
        <v>4530100</v>
      </c>
      <c r="D11" s="248">
        <f>SUM(D15:D29)</f>
        <v>4080400</v>
      </c>
      <c r="E11" s="248">
        <f>SUM(E15:E29)</f>
        <v>266000</v>
      </c>
      <c r="F11" s="248">
        <f>SUM(F15:F29)</f>
        <v>183700</v>
      </c>
      <c r="G11" s="526"/>
    </row>
    <row r="12" spans="1:9" ht="21.95" customHeight="1" x14ac:dyDescent="0.55000000000000004">
      <c r="A12" s="205"/>
      <c r="B12" s="524" t="s">
        <v>3</v>
      </c>
      <c r="C12" s="243"/>
      <c r="D12" s="243"/>
      <c r="E12" s="243"/>
      <c r="F12" s="243"/>
      <c r="G12" s="526"/>
    </row>
    <row r="13" spans="1:9" ht="21.95" customHeight="1" x14ac:dyDescent="0.55000000000000004">
      <c r="A13" s="206" t="s">
        <v>38</v>
      </c>
      <c r="B13" s="241"/>
      <c r="C13" s="243"/>
      <c r="D13" s="247"/>
      <c r="E13" s="247"/>
      <c r="F13" s="247"/>
      <c r="G13" s="253"/>
    </row>
    <row r="14" spans="1:9" ht="21.95" customHeight="1" x14ac:dyDescent="0.55000000000000004">
      <c r="A14" s="207" t="s">
        <v>9</v>
      </c>
      <c r="B14" s="241"/>
      <c r="C14" s="243"/>
      <c r="D14" s="247"/>
      <c r="E14" s="247"/>
      <c r="F14" s="247"/>
      <c r="G14" s="253"/>
    </row>
    <row r="15" spans="1:9" ht="21.95" customHeight="1" x14ac:dyDescent="0.55000000000000004">
      <c r="A15" s="208" t="s">
        <v>160</v>
      </c>
      <c r="B15" s="241" t="s">
        <v>2</v>
      </c>
      <c r="C15" s="243">
        <f t="shared" ref="C15" si="1">SUM(D15:F15)</f>
        <v>387400</v>
      </c>
      <c r="D15" s="244">
        <v>124800</v>
      </c>
      <c r="E15" s="244">
        <v>132000</v>
      </c>
      <c r="F15" s="244">
        <v>130600</v>
      </c>
      <c r="G15" s="235"/>
      <c r="H15" s="589">
        <v>387400</v>
      </c>
      <c r="I15" s="615">
        <f t="shared" ref="I15:I41" si="2">H15-C15</f>
        <v>0</v>
      </c>
    </row>
    <row r="16" spans="1:9" ht="21.95" customHeight="1" x14ac:dyDescent="0.55000000000000004">
      <c r="A16" s="207" t="s">
        <v>10</v>
      </c>
      <c r="B16" s="241"/>
      <c r="C16" s="243"/>
      <c r="D16" s="247"/>
      <c r="E16" s="247"/>
      <c r="F16" s="247"/>
      <c r="G16" s="253"/>
      <c r="I16" s="615">
        <f t="shared" si="2"/>
        <v>0</v>
      </c>
    </row>
    <row r="17" spans="1:9" ht="21.95" customHeight="1" x14ac:dyDescent="0.55000000000000004">
      <c r="A17" s="208" t="s">
        <v>174</v>
      </c>
      <c r="B17" s="241" t="s">
        <v>2</v>
      </c>
      <c r="C17" s="243">
        <f t="shared" ref="C17:C23" si="3">SUM(D17:F17)</f>
        <v>124100</v>
      </c>
      <c r="D17" s="244">
        <v>40000</v>
      </c>
      <c r="E17" s="244">
        <v>60000</v>
      </c>
      <c r="F17" s="244">
        <v>24100</v>
      </c>
      <c r="G17" s="235"/>
      <c r="H17" s="589">
        <v>124100</v>
      </c>
      <c r="I17" s="615">
        <f t="shared" si="2"/>
        <v>0</v>
      </c>
    </row>
    <row r="18" spans="1:9" ht="21.95" customHeight="1" x14ac:dyDescent="0.55000000000000004">
      <c r="A18" s="208" t="s">
        <v>161</v>
      </c>
      <c r="B18" s="241" t="s">
        <v>2</v>
      </c>
      <c r="C18" s="243">
        <f t="shared" si="3"/>
        <v>108600</v>
      </c>
      <c r="D18" s="244">
        <v>108600</v>
      </c>
      <c r="E18" s="244"/>
      <c r="F18" s="244"/>
      <c r="G18" s="235"/>
      <c r="H18" s="589">
        <v>108600</v>
      </c>
      <c r="I18" s="615">
        <f t="shared" si="2"/>
        <v>0</v>
      </c>
    </row>
    <row r="19" spans="1:9" ht="21.95" customHeight="1" x14ac:dyDescent="0.55000000000000004">
      <c r="A19" s="208" t="s">
        <v>434</v>
      </c>
      <c r="B19" s="241" t="s">
        <v>2</v>
      </c>
      <c r="C19" s="243">
        <f t="shared" si="3"/>
        <v>4800</v>
      </c>
      <c r="D19" s="244">
        <v>4800</v>
      </c>
      <c r="E19" s="244"/>
      <c r="F19" s="244"/>
      <c r="G19" s="235"/>
      <c r="H19" s="589">
        <v>4800</v>
      </c>
      <c r="I19" s="615">
        <f t="shared" si="2"/>
        <v>0</v>
      </c>
    </row>
    <row r="20" spans="1:9" ht="21.95" customHeight="1" x14ac:dyDescent="0.55000000000000004">
      <c r="A20" s="208" t="s">
        <v>162</v>
      </c>
      <c r="B20" s="241" t="s">
        <v>2</v>
      </c>
      <c r="C20" s="243">
        <f t="shared" si="3"/>
        <v>42000</v>
      </c>
      <c r="D20" s="244">
        <v>13000</v>
      </c>
      <c r="E20" s="244">
        <v>20000</v>
      </c>
      <c r="F20" s="244">
        <v>9000</v>
      </c>
      <c r="G20" s="235"/>
      <c r="H20" s="589">
        <v>42000</v>
      </c>
      <c r="I20" s="615">
        <f t="shared" si="2"/>
        <v>0</v>
      </c>
    </row>
    <row r="21" spans="1:9" ht="21.95" customHeight="1" x14ac:dyDescent="0.55000000000000004">
      <c r="A21" s="208" t="s">
        <v>187</v>
      </c>
      <c r="B21" s="245" t="s">
        <v>2</v>
      </c>
      <c r="C21" s="256">
        <f t="shared" si="3"/>
        <v>960000</v>
      </c>
      <c r="D21" s="453">
        <v>960000</v>
      </c>
      <c r="E21" s="453"/>
      <c r="F21" s="453"/>
      <c r="G21" s="235"/>
      <c r="H21" s="589">
        <v>960000</v>
      </c>
      <c r="I21" s="615">
        <f t="shared" si="2"/>
        <v>0</v>
      </c>
    </row>
    <row r="22" spans="1:9" ht="21.95" customHeight="1" x14ac:dyDescent="0.55000000000000004">
      <c r="A22" s="208" t="s">
        <v>175</v>
      </c>
      <c r="B22" s="241" t="s">
        <v>2</v>
      </c>
      <c r="C22" s="243">
        <f t="shared" si="3"/>
        <v>2568000</v>
      </c>
      <c r="D22" s="244">
        <v>2568000</v>
      </c>
      <c r="E22" s="244"/>
      <c r="F22" s="244"/>
      <c r="G22" s="235"/>
      <c r="H22" s="589">
        <v>2568000</v>
      </c>
      <c r="I22" s="615">
        <f t="shared" si="2"/>
        <v>0</v>
      </c>
    </row>
    <row r="23" spans="1:9" ht="21.95" customHeight="1" x14ac:dyDescent="0.55000000000000004">
      <c r="A23" s="208" t="s">
        <v>163</v>
      </c>
      <c r="B23" s="241" t="s">
        <v>2</v>
      </c>
      <c r="C23" s="243">
        <f t="shared" si="3"/>
        <v>216000</v>
      </c>
      <c r="D23" s="244">
        <v>216000</v>
      </c>
      <c r="E23" s="244"/>
      <c r="F23" s="244"/>
      <c r="G23" s="235"/>
      <c r="H23" s="589">
        <v>216000</v>
      </c>
      <c r="I23" s="615">
        <f t="shared" si="2"/>
        <v>0</v>
      </c>
    </row>
    <row r="24" spans="1:9" ht="21.95" customHeight="1" x14ac:dyDescent="0.55000000000000004">
      <c r="A24" s="565" t="s">
        <v>11</v>
      </c>
      <c r="B24" s="245"/>
      <c r="C24" s="256"/>
      <c r="D24" s="453"/>
      <c r="E24" s="453"/>
      <c r="F24" s="453"/>
      <c r="G24" s="235"/>
      <c r="I24" s="615">
        <f t="shared" si="2"/>
        <v>0</v>
      </c>
    </row>
    <row r="25" spans="1:9" ht="21.95" customHeight="1" x14ac:dyDescent="0.55000000000000004">
      <c r="A25" s="208" t="s">
        <v>253</v>
      </c>
      <c r="B25" s="245" t="s">
        <v>2</v>
      </c>
      <c r="C25" s="256"/>
      <c r="D25" s="535"/>
      <c r="E25" s="535"/>
      <c r="F25" s="535"/>
      <c r="G25" s="532"/>
      <c r="I25" s="615">
        <f t="shared" si="2"/>
        <v>0</v>
      </c>
    </row>
    <row r="26" spans="1:9" ht="21.95" customHeight="1" x14ac:dyDescent="0.55000000000000004">
      <c r="A26" s="208" t="s">
        <v>165</v>
      </c>
      <c r="B26" s="241" t="s">
        <v>2</v>
      </c>
      <c r="C26" s="243">
        <f>SUM(D26:F26)</f>
        <v>72000</v>
      </c>
      <c r="D26" s="244">
        <v>22000</v>
      </c>
      <c r="E26" s="244">
        <v>30000</v>
      </c>
      <c r="F26" s="244">
        <v>20000</v>
      </c>
      <c r="G26" s="235"/>
      <c r="H26" s="589">
        <v>72000</v>
      </c>
      <c r="I26" s="615">
        <f>H26-C26</f>
        <v>0</v>
      </c>
    </row>
    <row r="27" spans="1:9" ht="21.95" customHeight="1" x14ac:dyDescent="0.55000000000000004">
      <c r="A27" s="208" t="s">
        <v>166</v>
      </c>
      <c r="B27" s="241" t="s">
        <v>2</v>
      </c>
      <c r="C27" s="243">
        <f t="shared" ref="C27" si="4">SUM(D27:F27)</f>
        <v>13200</v>
      </c>
      <c r="D27" s="244">
        <v>13200</v>
      </c>
      <c r="E27" s="244"/>
      <c r="F27" s="244"/>
      <c r="G27" s="235"/>
      <c r="H27" s="589">
        <v>13200</v>
      </c>
      <c r="I27" s="615">
        <f>H27-C27</f>
        <v>0</v>
      </c>
    </row>
    <row r="28" spans="1:9" ht="21.95" customHeight="1" x14ac:dyDescent="0.55000000000000004">
      <c r="A28" s="208" t="s">
        <v>177</v>
      </c>
      <c r="B28" s="245" t="s">
        <v>2</v>
      </c>
      <c r="C28" s="256">
        <f>SUM(D28:F28)</f>
        <v>24000</v>
      </c>
      <c r="D28" s="453"/>
      <c r="E28" s="453">
        <v>24000</v>
      </c>
      <c r="F28" s="453"/>
      <c r="G28" s="235"/>
      <c r="H28" s="589">
        <v>24000</v>
      </c>
      <c r="I28" s="615">
        <f>H28-C28</f>
        <v>0</v>
      </c>
    </row>
    <row r="29" spans="1:9" ht="21.95" customHeight="1" x14ac:dyDescent="0.55000000000000004">
      <c r="A29" s="208" t="s">
        <v>188</v>
      </c>
      <c r="B29" s="449" t="s">
        <v>2</v>
      </c>
      <c r="C29" s="450">
        <f t="shared" ref="C29" si="5">SUM(D29:F29)</f>
        <v>10000</v>
      </c>
      <c r="D29" s="452">
        <v>10000</v>
      </c>
      <c r="E29" s="452"/>
      <c r="F29" s="452"/>
      <c r="G29" s="235"/>
      <c r="H29" s="589">
        <v>10000</v>
      </c>
      <c r="I29" s="615">
        <f>H29-C29</f>
        <v>0</v>
      </c>
    </row>
    <row r="30" spans="1:9" ht="21.95" customHeight="1" x14ac:dyDescent="0.55000000000000004">
      <c r="A30" s="468" t="s">
        <v>365</v>
      </c>
      <c r="B30" s="196" t="s">
        <v>2</v>
      </c>
      <c r="C30" s="197">
        <f>SUM(D30:F30)</f>
        <v>4530100</v>
      </c>
      <c r="D30" s="197">
        <f>D7</f>
        <v>4080400</v>
      </c>
      <c r="E30" s="197">
        <f>E7</f>
        <v>266000</v>
      </c>
      <c r="F30" s="214">
        <f>F7</f>
        <v>183700</v>
      </c>
      <c r="G30" s="235"/>
      <c r="I30" s="615"/>
    </row>
    <row r="31" spans="1:9" ht="21.95" customHeight="1" x14ac:dyDescent="0.55000000000000004">
      <c r="A31" s="495"/>
      <c r="B31" s="196" t="s">
        <v>3</v>
      </c>
      <c r="C31" s="197"/>
      <c r="D31" s="197"/>
      <c r="E31" s="197"/>
      <c r="F31" s="214"/>
      <c r="G31" s="235"/>
      <c r="H31" s="589">
        <f ca="1">SUM(H15:H55)</f>
        <v>4657000</v>
      </c>
      <c r="I31" s="615">
        <f t="shared" ca="1" si="2"/>
        <v>4657000</v>
      </c>
    </row>
    <row r="32" spans="1:9" ht="21.95" customHeight="1" x14ac:dyDescent="0.55000000000000004">
      <c r="A32" s="195" t="s">
        <v>366</v>
      </c>
      <c r="B32" s="196" t="s">
        <v>2</v>
      </c>
      <c r="C32" s="197">
        <f>SUM(D32:F32)</f>
        <v>0</v>
      </c>
      <c r="D32" s="197"/>
      <c r="E32" s="197"/>
      <c r="F32" s="214"/>
      <c r="G32" s="235"/>
      <c r="I32" s="615">
        <f t="shared" si="2"/>
        <v>0</v>
      </c>
    </row>
    <row r="33" spans="1:9" ht="21.95" customHeight="1" x14ac:dyDescent="0.55000000000000004">
      <c r="A33" s="495"/>
      <c r="B33" s="196" t="s">
        <v>3</v>
      </c>
      <c r="C33" s="197"/>
      <c r="D33" s="197"/>
      <c r="E33" s="197"/>
      <c r="F33" s="214"/>
      <c r="G33" s="235"/>
      <c r="I33" s="615">
        <f t="shared" si="2"/>
        <v>0</v>
      </c>
    </row>
    <row r="34" spans="1:9" ht="21.95" customHeight="1" x14ac:dyDescent="0.55000000000000004">
      <c r="A34" s="673" t="s">
        <v>1</v>
      </c>
      <c r="B34" s="225" t="s">
        <v>2</v>
      </c>
      <c r="C34" s="226">
        <f>SUM(D34:F34)</f>
        <v>4530100</v>
      </c>
      <c r="D34" s="226">
        <f>D30+D32</f>
        <v>4080400</v>
      </c>
      <c r="E34" s="226">
        <f t="shared" ref="E34:F34" si="6">E30+E32</f>
        <v>266000</v>
      </c>
      <c r="F34" s="226">
        <f t="shared" si="6"/>
        <v>183700</v>
      </c>
      <c r="G34" s="235"/>
      <c r="I34" s="615"/>
    </row>
    <row r="35" spans="1:9" ht="21.95" customHeight="1" x14ac:dyDescent="0.55000000000000004">
      <c r="A35" s="674"/>
      <c r="B35" s="225" t="s">
        <v>3</v>
      </c>
      <c r="C35" s="226"/>
      <c r="D35" s="227"/>
      <c r="E35" s="227"/>
      <c r="F35" s="227"/>
      <c r="G35" s="235"/>
      <c r="I35" s="615">
        <f t="shared" si="2"/>
        <v>0</v>
      </c>
    </row>
    <row r="36" spans="1:9" ht="23.1" customHeight="1" x14ac:dyDescent="0.55000000000000004">
      <c r="A36" s="190" t="s">
        <v>225</v>
      </c>
      <c r="B36" s="589"/>
      <c r="C36" s="589"/>
      <c r="D36" s="589"/>
      <c r="E36" s="589"/>
      <c r="F36" s="589"/>
      <c r="G36" s="589"/>
      <c r="I36" s="615"/>
    </row>
    <row r="37" spans="1:9" ht="5.25" customHeight="1" x14ac:dyDescent="0.55000000000000004">
      <c r="A37" s="589"/>
      <c r="B37" s="589"/>
      <c r="C37" s="589"/>
      <c r="D37" s="589"/>
      <c r="E37" s="589"/>
      <c r="F37" s="589"/>
      <c r="G37" s="589"/>
      <c r="I37" s="615"/>
    </row>
    <row r="38" spans="1:9" ht="24" customHeight="1" x14ac:dyDescent="0.55000000000000004">
      <c r="A38" s="468" t="s">
        <v>194</v>
      </c>
      <c r="B38" s="587" t="s">
        <v>2</v>
      </c>
      <c r="C38" s="266">
        <f>SUM(D38:F38)</f>
        <v>1506600</v>
      </c>
      <c r="D38" s="266">
        <f>D40</f>
        <v>719600</v>
      </c>
      <c r="E38" s="266">
        <f t="shared" ref="E38:F38" si="7">E40</f>
        <v>547600</v>
      </c>
      <c r="F38" s="266">
        <f t="shared" si="7"/>
        <v>239400</v>
      </c>
      <c r="G38" s="526"/>
      <c r="I38" s="615">
        <f t="shared" si="2"/>
        <v>-1506600</v>
      </c>
    </row>
    <row r="39" spans="1:9" ht="24" customHeight="1" x14ac:dyDescent="0.55000000000000004">
      <c r="A39" s="495"/>
      <c r="B39" s="196" t="s">
        <v>3</v>
      </c>
      <c r="C39" s="197"/>
      <c r="D39" s="197"/>
      <c r="E39" s="197"/>
      <c r="F39" s="214"/>
      <c r="G39" s="526"/>
      <c r="I39" s="615">
        <f t="shared" si="2"/>
        <v>0</v>
      </c>
    </row>
    <row r="40" spans="1:9" ht="24" customHeight="1" x14ac:dyDescent="0.55000000000000004">
      <c r="A40" s="586"/>
      <c r="B40" s="200" t="s">
        <v>2</v>
      </c>
      <c r="C40" s="229">
        <f>SUM(D40:F40)</f>
        <v>1506600</v>
      </c>
      <c r="D40" s="229">
        <f>D42+D57</f>
        <v>719600</v>
      </c>
      <c r="E40" s="229">
        <f>E42+E57</f>
        <v>547600</v>
      </c>
      <c r="F40" s="229">
        <f>F42+F57</f>
        <v>239400</v>
      </c>
      <c r="G40" s="235"/>
      <c r="I40" s="615">
        <f t="shared" si="2"/>
        <v>-1506600</v>
      </c>
    </row>
    <row r="41" spans="1:9" ht="24" customHeight="1" x14ac:dyDescent="0.55000000000000004">
      <c r="A41" s="230" t="s">
        <v>369</v>
      </c>
      <c r="B41" s="200" t="s">
        <v>3</v>
      </c>
      <c r="C41" s="229"/>
      <c r="D41" s="224"/>
      <c r="E41" s="224"/>
      <c r="F41" s="224"/>
      <c r="G41" s="235"/>
      <c r="I41" s="615">
        <f t="shared" si="2"/>
        <v>0</v>
      </c>
    </row>
    <row r="42" spans="1:9" ht="24" customHeight="1" x14ac:dyDescent="0.55000000000000004">
      <c r="A42" s="205" t="s">
        <v>338</v>
      </c>
      <c r="B42" s="525" t="s">
        <v>2</v>
      </c>
      <c r="C42" s="249">
        <f>SUM(C46:C55)</f>
        <v>983000</v>
      </c>
      <c r="D42" s="249">
        <f>SUM(D46:D55)</f>
        <v>376400</v>
      </c>
      <c r="E42" s="249">
        <f>SUM(E46:E55)</f>
        <v>428200</v>
      </c>
      <c r="F42" s="249">
        <f>SUM(F46:F55)</f>
        <v>178400</v>
      </c>
      <c r="G42" s="235"/>
      <c r="H42" s="589">
        <f>F42-1506600</f>
        <v>-1328200</v>
      </c>
      <c r="I42" s="615">
        <f t="shared" ref="I42:I73" si="8">H42-C42</f>
        <v>-2311200</v>
      </c>
    </row>
    <row r="43" spans="1:9" ht="24" customHeight="1" x14ac:dyDescent="0.55000000000000004">
      <c r="A43" s="479"/>
      <c r="B43" s="524" t="s">
        <v>3</v>
      </c>
      <c r="C43" s="616"/>
      <c r="D43" s="244"/>
      <c r="E43" s="244"/>
      <c r="F43" s="244"/>
      <c r="G43" s="235"/>
      <c r="I43" s="615">
        <f t="shared" si="8"/>
        <v>0</v>
      </c>
    </row>
    <row r="44" spans="1:9" ht="24" customHeight="1" x14ac:dyDescent="0.55000000000000004">
      <c r="A44" s="206" t="s">
        <v>38</v>
      </c>
      <c r="B44" s="241"/>
      <c r="C44" s="616"/>
      <c r="D44" s="242"/>
      <c r="E44" s="242"/>
      <c r="F44" s="242"/>
      <c r="G44" s="532"/>
      <c r="I44" s="615">
        <f t="shared" si="8"/>
        <v>0</v>
      </c>
    </row>
    <row r="45" spans="1:9" ht="24" customHeight="1" x14ac:dyDescent="0.55000000000000004">
      <c r="A45" s="207" t="s">
        <v>9</v>
      </c>
      <c r="B45" s="241"/>
      <c r="C45" s="243"/>
      <c r="D45" s="247"/>
      <c r="E45" s="247"/>
      <c r="F45" s="247"/>
      <c r="G45" s="253"/>
    </row>
    <row r="46" spans="1:9" ht="24" customHeight="1" x14ac:dyDescent="0.55000000000000004">
      <c r="A46" s="208" t="s">
        <v>168</v>
      </c>
      <c r="B46" s="241" t="s">
        <v>2</v>
      </c>
      <c r="C46" s="616">
        <f>SUM(D46:F46)</f>
        <v>100000</v>
      </c>
      <c r="D46" s="244">
        <v>30000</v>
      </c>
      <c r="E46" s="244">
        <v>50000</v>
      </c>
      <c r="F46" s="244">
        <v>20000</v>
      </c>
      <c r="G46" s="235"/>
      <c r="H46" s="589">
        <v>100000</v>
      </c>
      <c r="I46" s="615">
        <f t="shared" ref="I46:I47" si="9">H46-C46</f>
        <v>0</v>
      </c>
    </row>
    <row r="47" spans="1:9" ht="24" customHeight="1" x14ac:dyDescent="0.55000000000000004">
      <c r="A47" s="208" t="s">
        <v>380</v>
      </c>
      <c r="B47" s="241" t="s">
        <v>2</v>
      </c>
      <c r="C47" s="243">
        <f t="shared" ref="C47" si="10">SUM(D47:F47)</f>
        <v>292800</v>
      </c>
      <c r="D47" s="244">
        <v>98400</v>
      </c>
      <c r="E47" s="244">
        <v>96000</v>
      </c>
      <c r="F47" s="244">
        <f>97600+800</f>
        <v>98400</v>
      </c>
      <c r="G47" s="235"/>
      <c r="H47" s="589">
        <v>292800</v>
      </c>
      <c r="I47" s="615">
        <f t="shared" si="9"/>
        <v>0</v>
      </c>
    </row>
    <row r="48" spans="1:9" ht="24" customHeight="1" x14ac:dyDescent="0.55000000000000004">
      <c r="A48" s="207" t="s">
        <v>10</v>
      </c>
      <c r="B48" s="241"/>
      <c r="C48" s="616">
        <f t="shared" ref="C48:C50" si="11">SUM(D48:F48)</f>
        <v>0</v>
      </c>
      <c r="D48" s="247"/>
      <c r="E48" s="247"/>
      <c r="F48" s="247"/>
      <c r="G48" s="253"/>
      <c r="I48" s="615">
        <f t="shared" si="8"/>
        <v>0</v>
      </c>
    </row>
    <row r="49" spans="1:9" ht="24" customHeight="1" x14ac:dyDescent="0.55000000000000004">
      <c r="A49" s="208" t="s">
        <v>169</v>
      </c>
      <c r="B49" s="241" t="s">
        <v>2</v>
      </c>
      <c r="C49" s="616">
        <f>SUM(D49:F49)</f>
        <v>2200</v>
      </c>
      <c r="D49" s="244"/>
      <c r="E49" s="244">
        <v>2200</v>
      </c>
      <c r="F49" s="244"/>
      <c r="G49" s="235"/>
      <c r="H49" s="589">
        <v>2200</v>
      </c>
      <c r="I49" s="615">
        <f>H49-C49</f>
        <v>0</v>
      </c>
    </row>
    <row r="50" spans="1:9" ht="24" customHeight="1" x14ac:dyDescent="0.55000000000000004">
      <c r="A50" s="208" t="s">
        <v>173</v>
      </c>
      <c r="B50" s="241" t="s">
        <v>2</v>
      </c>
      <c r="C50" s="616">
        <f t="shared" si="11"/>
        <v>28000</v>
      </c>
      <c r="D50" s="244">
        <v>28000</v>
      </c>
      <c r="E50" s="244"/>
      <c r="F50" s="244"/>
      <c r="G50" s="235"/>
      <c r="H50" s="589">
        <v>28000</v>
      </c>
      <c r="I50" s="615">
        <f t="shared" si="8"/>
        <v>0</v>
      </c>
    </row>
    <row r="51" spans="1:9" ht="24" customHeight="1" x14ac:dyDescent="0.55000000000000004">
      <c r="A51" s="207" t="s">
        <v>11</v>
      </c>
      <c r="B51" s="241"/>
      <c r="C51" s="616"/>
      <c r="D51" s="244"/>
      <c r="E51" s="244"/>
      <c r="F51" s="244"/>
      <c r="G51" s="235"/>
      <c r="I51" s="615"/>
    </row>
    <row r="52" spans="1:9" ht="24" customHeight="1" x14ac:dyDescent="0.55000000000000004">
      <c r="A52" s="208" t="s">
        <v>435</v>
      </c>
      <c r="B52" s="241" t="s">
        <v>2</v>
      </c>
      <c r="C52" s="616">
        <f>SUM(D52:F52)</f>
        <v>240000</v>
      </c>
      <c r="D52" s="244">
        <v>100000</v>
      </c>
      <c r="E52" s="244">
        <v>100000</v>
      </c>
      <c r="F52" s="244">
        <f>50000-10000</f>
        <v>40000</v>
      </c>
      <c r="G52" s="235"/>
      <c r="H52" s="589">
        <v>240000</v>
      </c>
      <c r="I52" s="615">
        <f>H52-C52</f>
        <v>0</v>
      </c>
    </row>
    <row r="53" spans="1:9" ht="24" customHeight="1" x14ac:dyDescent="0.55000000000000004">
      <c r="A53" s="208" t="s">
        <v>164</v>
      </c>
      <c r="B53" s="241" t="s">
        <v>2</v>
      </c>
      <c r="C53" s="616">
        <f>SUM(D53:F53)</f>
        <v>60000</v>
      </c>
      <c r="D53" s="244"/>
      <c r="E53" s="244">
        <v>60000</v>
      </c>
      <c r="F53" s="244"/>
      <c r="G53" s="235"/>
      <c r="H53" s="589">
        <v>60000</v>
      </c>
      <c r="I53" s="615">
        <f>H53-C53</f>
        <v>0</v>
      </c>
    </row>
    <row r="54" spans="1:9" ht="24" customHeight="1" x14ac:dyDescent="0.55000000000000004">
      <c r="A54" s="208" t="s">
        <v>176</v>
      </c>
      <c r="B54" s="241" t="s">
        <v>2</v>
      </c>
      <c r="C54" s="616">
        <f>SUM(D54:F54)</f>
        <v>200000</v>
      </c>
      <c r="D54" s="244">
        <v>100000</v>
      </c>
      <c r="E54" s="244">
        <v>100000</v>
      </c>
      <c r="F54" s="244"/>
      <c r="G54" s="235"/>
      <c r="H54" s="589">
        <v>200000</v>
      </c>
      <c r="I54" s="615">
        <f>H54-C54</f>
        <v>0</v>
      </c>
    </row>
    <row r="55" spans="1:9" ht="24" customHeight="1" x14ac:dyDescent="0.55000000000000004">
      <c r="A55" s="208" t="s">
        <v>439</v>
      </c>
      <c r="B55" s="241" t="s">
        <v>2</v>
      </c>
      <c r="C55" s="243">
        <f t="shared" ref="C55" si="12">SUM(D55:F55)</f>
        <v>60000</v>
      </c>
      <c r="D55" s="244">
        <v>20000</v>
      </c>
      <c r="E55" s="244">
        <v>20000</v>
      </c>
      <c r="F55" s="244">
        <v>20000</v>
      </c>
      <c r="G55" s="235"/>
      <c r="H55" s="589">
        <v>60000</v>
      </c>
      <c r="I55" s="615">
        <f>H55-C55</f>
        <v>0</v>
      </c>
    </row>
    <row r="56" spans="1:9" ht="24" customHeight="1" x14ac:dyDescent="0.55000000000000004">
      <c r="A56" s="223"/>
      <c r="B56" s="236"/>
      <c r="C56" s="237"/>
      <c r="D56" s="232"/>
      <c r="E56" s="232"/>
      <c r="F56" s="232"/>
      <c r="G56" s="235"/>
      <c r="I56" s="615"/>
    </row>
    <row r="57" spans="1:9" ht="24" customHeight="1" x14ac:dyDescent="0.55000000000000004">
      <c r="A57" s="204" t="s">
        <v>171</v>
      </c>
      <c r="B57" s="525" t="s">
        <v>2</v>
      </c>
      <c r="C57" s="248">
        <f>SUM(D57:F57)</f>
        <v>523600</v>
      </c>
      <c r="D57" s="249">
        <f>SUM(D59:D67)</f>
        <v>343200</v>
      </c>
      <c r="E57" s="249">
        <f>SUM(E59:E67)</f>
        <v>119400</v>
      </c>
      <c r="F57" s="249">
        <f>SUM(F59:F67)</f>
        <v>61000</v>
      </c>
      <c r="G57" s="533"/>
      <c r="I57" s="615"/>
    </row>
    <row r="58" spans="1:9" ht="24" customHeight="1" x14ac:dyDescent="0.55000000000000004">
      <c r="A58" s="479"/>
      <c r="B58" s="524" t="s">
        <v>3</v>
      </c>
      <c r="C58" s="243"/>
      <c r="D58" s="250"/>
      <c r="E58" s="250"/>
      <c r="F58" s="250"/>
      <c r="G58" s="533"/>
      <c r="I58" s="615">
        <f t="shared" si="8"/>
        <v>0</v>
      </c>
    </row>
    <row r="59" spans="1:9" ht="24" customHeight="1" x14ac:dyDescent="0.55000000000000004">
      <c r="A59" s="208" t="s">
        <v>428</v>
      </c>
      <c r="B59" s="245" t="s">
        <v>2</v>
      </c>
      <c r="C59" s="256">
        <f>SUM(D59:F59)</f>
        <v>255100</v>
      </c>
      <c r="D59" s="453">
        <v>255100</v>
      </c>
      <c r="E59" s="453"/>
      <c r="F59" s="453"/>
      <c r="G59" s="235"/>
      <c r="H59" s="589">
        <v>255100</v>
      </c>
      <c r="I59" s="615">
        <f>H59-C59</f>
        <v>0</v>
      </c>
    </row>
    <row r="60" spans="1:9" ht="24" customHeight="1" x14ac:dyDescent="0.55000000000000004">
      <c r="A60" s="117" t="s">
        <v>440</v>
      </c>
      <c r="B60" s="241" t="s">
        <v>3</v>
      </c>
      <c r="C60" s="251"/>
      <c r="D60" s="252"/>
      <c r="E60" s="252"/>
      <c r="F60" s="244"/>
      <c r="G60" s="235"/>
      <c r="I60" s="615">
        <f>H60-C60</f>
        <v>0</v>
      </c>
    </row>
    <row r="61" spans="1:9" ht="24" customHeight="1" x14ac:dyDescent="0.55000000000000004">
      <c r="A61" s="117" t="s">
        <v>441</v>
      </c>
      <c r="B61" s="245"/>
      <c r="C61" s="654"/>
      <c r="D61" s="655"/>
      <c r="E61" s="655"/>
      <c r="F61" s="453"/>
      <c r="G61" s="235"/>
      <c r="I61" s="615"/>
    </row>
    <row r="62" spans="1:9" ht="24" customHeight="1" x14ac:dyDescent="0.55000000000000004">
      <c r="A62" s="208" t="s">
        <v>429</v>
      </c>
      <c r="B62" s="245" t="s">
        <v>2</v>
      </c>
      <c r="C62" s="256">
        <f t="shared" ref="C62" si="13">SUM(D62:F62)</f>
        <v>180400</v>
      </c>
      <c r="D62" s="453"/>
      <c r="E62" s="453">
        <v>119400</v>
      </c>
      <c r="F62" s="453">
        <v>61000</v>
      </c>
      <c r="G62" s="235"/>
      <c r="H62" s="589">
        <v>180400</v>
      </c>
      <c r="I62" s="615">
        <f>H62-C62</f>
        <v>0</v>
      </c>
    </row>
    <row r="63" spans="1:9" ht="24" customHeight="1" x14ac:dyDescent="0.55000000000000004">
      <c r="A63" s="223"/>
      <c r="B63" s="449" t="s">
        <v>3</v>
      </c>
      <c r="C63" s="450"/>
      <c r="D63" s="452"/>
      <c r="E63" s="452"/>
      <c r="F63" s="452"/>
      <c r="G63" s="235"/>
      <c r="I63" s="615">
        <f>H63-C63</f>
        <v>0</v>
      </c>
    </row>
    <row r="64" spans="1:9" ht="24" customHeight="1" x14ac:dyDescent="0.55000000000000004">
      <c r="A64" s="589"/>
      <c r="B64" s="589"/>
      <c r="C64" s="589"/>
      <c r="D64" s="589"/>
      <c r="E64" s="589"/>
      <c r="F64" s="589"/>
      <c r="G64" s="589"/>
      <c r="I64" s="615"/>
    </row>
    <row r="65" spans="1:9" ht="24" customHeight="1" x14ac:dyDescent="0.55000000000000004">
      <c r="A65" s="589"/>
      <c r="B65" s="589"/>
      <c r="C65" s="589"/>
      <c r="D65" s="589"/>
      <c r="E65" s="589"/>
      <c r="F65" s="589"/>
      <c r="G65" s="589"/>
      <c r="I65" s="615"/>
    </row>
    <row r="66" spans="1:9" ht="24" customHeight="1" x14ac:dyDescent="0.55000000000000004">
      <c r="A66" s="663" t="s">
        <v>438</v>
      </c>
      <c r="B66" s="447" t="s">
        <v>2</v>
      </c>
      <c r="C66" s="481">
        <f>SUM(D66:F66)</f>
        <v>88100</v>
      </c>
      <c r="D66" s="621">
        <v>88100</v>
      </c>
      <c r="E66" s="621"/>
      <c r="F66" s="621"/>
      <c r="G66" s="235"/>
      <c r="H66" s="589">
        <v>88100</v>
      </c>
      <c r="I66" s="615">
        <f t="shared" si="8"/>
        <v>0</v>
      </c>
    </row>
    <row r="67" spans="1:9" ht="24" customHeight="1" x14ac:dyDescent="0.55000000000000004">
      <c r="A67" s="223"/>
      <c r="B67" s="449" t="s">
        <v>3</v>
      </c>
      <c r="C67" s="450"/>
      <c r="D67" s="452"/>
      <c r="E67" s="452"/>
      <c r="F67" s="452"/>
      <c r="G67" s="235"/>
      <c r="I67" s="615">
        <f t="shared" si="8"/>
        <v>0</v>
      </c>
    </row>
    <row r="68" spans="1:9" ht="24" customHeight="1" x14ac:dyDescent="0.55000000000000004">
      <c r="A68" s="468" t="s">
        <v>365</v>
      </c>
      <c r="B68" s="196" t="s">
        <v>2</v>
      </c>
      <c r="C68" s="233">
        <f>SUM(D68:F68)</f>
        <v>1506600</v>
      </c>
      <c r="D68" s="228">
        <f>D42+D57</f>
        <v>719600</v>
      </c>
      <c r="E68" s="228">
        <f>E42+E57</f>
        <v>547600</v>
      </c>
      <c r="F68" s="536">
        <f>F42+F57</f>
        <v>239400</v>
      </c>
      <c r="G68" s="235"/>
      <c r="I68" s="615"/>
    </row>
    <row r="69" spans="1:9" ht="24" customHeight="1" x14ac:dyDescent="0.55000000000000004">
      <c r="A69" s="495"/>
      <c r="B69" s="196" t="s">
        <v>3</v>
      </c>
      <c r="C69" s="228"/>
      <c r="D69" s="228"/>
      <c r="E69" s="228"/>
      <c r="F69" s="536"/>
      <c r="G69" s="235"/>
      <c r="I69" s="615">
        <f t="shared" si="8"/>
        <v>0</v>
      </c>
    </row>
    <row r="70" spans="1:9" ht="24" customHeight="1" x14ac:dyDescent="0.55000000000000004">
      <c r="A70" s="195" t="s">
        <v>366</v>
      </c>
      <c r="B70" s="196" t="s">
        <v>2</v>
      </c>
      <c r="C70" s="233">
        <f>SUM(D70:F70)</f>
        <v>0</v>
      </c>
      <c r="D70" s="228">
        <v>0</v>
      </c>
      <c r="E70" s="228">
        <v>0</v>
      </c>
      <c r="F70" s="536">
        <v>0</v>
      </c>
      <c r="G70" s="235"/>
      <c r="I70" s="615">
        <f t="shared" si="8"/>
        <v>0</v>
      </c>
    </row>
    <row r="71" spans="1:9" ht="24" customHeight="1" x14ac:dyDescent="0.55000000000000004">
      <c r="A71" s="495"/>
      <c r="B71" s="196" t="s">
        <v>3</v>
      </c>
      <c r="C71" s="228"/>
      <c r="D71" s="228"/>
      <c r="E71" s="228"/>
      <c r="F71" s="536"/>
      <c r="G71" s="235"/>
      <c r="I71" s="615">
        <f t="shared" si="8"/>
        <v>0</v>
      </c>
    </row>
    <row r="72" spans="1:9" ht="24" customHeight="1" x14ac:dyDescent="0.55000000000000004">
      <c r="A72" s="673" t="s">
        <v>1</v>
      </c>
      <c r="B72" s="225" t="s">
        <v>2</v>
      </c>
      <c r="C72" s="233">
        <f>SUM(D72:F72)</f>
        <v>1506600</v>
      </c>
      <c r="D72" s="233">
        <f>D68+D70</f>
        <v>719600</v>
      </c>
      <c r="E72" s="233">
        <f t="shared" ref="E72:F72" si="14">E68+E70</f>
        <v>547600</v>
      </c>
      <c r="F72" s="233">
        <f t="shared" si="14"/>
        <v>239400</v>
      </c>
      <c r="G72" s="235"/>
      <c r="I72" s="615">
        <f t="shared" si="8"/>
        <v>-1506600</v>
      </c>
    </row>
    <row r="73" spans="1:9" ht="24" customHeight="1" x14ac:dyDescent="0.55000000000000004">
      <c r="A73" s="674"/>
      <c r="B73" s="225" t="s">
        <v>3</v>
      </c>
      <c r="C73" s="233"/>
      <c r="D73" s="234"/>
      <c r="E73" s="234"/>
      <c r="F73" s="234"/>
      <c r="G73" s="235"/>
      <c r="I73" s="615">
        <f t="shared" si="8"/>
        <v>0</v>
      </c>
    </row>
    <row r="74" spans="1:9" ht="24" customHeight="1" x14ac:dyDescent="0.55000000000000004">
      <c r="A74" s="190" t="s">
        <v>225</v>
      </c>
      <c r="B74" s="216"/>
      <c r="D74" s="492"/>
      <c r="E74" s="235"/>
      <c r="F74" s="235"/>
      <c r="G74" s="235"/>
    </row>
    <row r="75" spans="1:9" ht="27.75" customHeight="1" x14ac:dyDescent="0.55000000000000004">
      <c r="C75" s="121">
        <f>C72-C38</f>
        <v>0</v>
      </c>
      <c r="D75" s="121">
        <f>D72-D38</f>
        <v>0</v>
      </c>
      <c r="E75" s="121">
        <f>E72-E38</f>
        <v>0</v>
      </c>
      <c r="F75" s="121">
        <f>F72-F38</f>
        <v>0</v>
      </c>
      <c r="G75" s="121">
        <f>G72-G38</f>
        <v>0</v>
      </c>
    </row>
    <row r="76" spans="1:9" ht="24" customHeight="1" x14ac:dyDescent="0.55000000000000004">
      <c r="D76" s="121"/>
    </row>
  </sheetData>
  <mergeCells count="8">
    <mergeCell ref="A72:A73"/>
    <mergeCell ref="F5:F6"/>
    <mergeCell ref="A1:F1"/>
    <mergeCell ref="C5:C6"/>
    <mergeCell ref="A34:A35"/>
    <mergeCell ref="A5:A6"/>
    <mergeCell ref="D5:D6"/>
    <mergeCell ref="E5:E6"/>
  </mergeCells>
  <pageMargins left="0.59055118110236227" right="0.39370078740157483" top="0.39370078740157483" bottom="0.19685039370078741" header="0.31496062992125984" footer="0.11811023622047245"/>
  <pageSetup paperSize="9" scale="7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1:I67"/>
  <sheetViews>
    <sheetView workbookViewId="0">
      <selection activeCell="A2" sqref="A1:A1048576"/>
    </sheetView>
  </sheetViews>
  <sheetFormatPr defaultColWidth="9" defaultRowHeight="24" x14ac:dyDescent="0.55000000000000004"/>
  <cols>
    <col min="1" max="1" width="80.625" style="122" customWidth="1"/>
    <col min="2" max="2" width="8.125" style="122" customWidth="1"/>
    <col min="3" max="3" width="22.625" style="220" customWidth="1"/>
    <col min="4" max="6" width="22.625" style="122" customWidth="1"/>
    <col min="7" max="7" width="2.25" style="122" customWidth="1"/>
    <col min="8" max="8" width="13.375" style="589" customWidth="1"/>
    <col min="9" max="9" width="12.75" style="12" customWidth="1"/>
    <col min="10" max="18" width="39.375" style="122" customWidth="1"/>
    <col min="19" max="16384" width="9" style="122"/>
  </cols>
  <sheetData>
    <row r="1" spans="1:9" ht="21.95" customHeight="1" x14ac:dyDescent="0.55000000000000004">
      <c r="A1" s="672" t="s">
        <v>411</v>
      </c>
      <c r="B1" s="672"/>
      <c r="C1" s="672"/>
      <c r="D1" s="672"/>
      <c r="E1" s="672"/>
      <c r="F1" s="672"/>
      <c r="G1" s="240"/>
    </row>
    <row r="2" spans="1:9" ht="21.95" customHeight="1" x14ac:dyDescent="0.55000000000000004">
      <c r="A2" s="188" t="s">
        <v>55</v>
      </c>
      <c r="B2" s="188"/>
      <c r="C2" s="189"/>
      <c r="D2" s="188"/>
      <c r="E2" s="188"/>
      <c r="F2" s="188"/>
      <c r="G2" s="188"/>
    </row>
    <row r="3" spans="1:9" ht="24.75" customHeight="1" x14ac:dyDescent="0.55000000000000004">
      <c r="A3" s="190" t="s">
        <v>178</v>
      </c>
      <c r="B3" s="190"/>
      <c r="C3" s="191"/>
      <c r="E3" s="192"/>
      <c r="F3" s="568" t="s">
        <v>28</v>
      </c>
      <c r="G3" s="192"/>
    </row>
    <row r="4" spans="1:9" ht="5.25" customHeight="1" x14ac:dyDescent="0.55000000000000004">
      <c r="A4" s="190"/>
      <c r="B4" s="190"/>
      <c r="C4" s="191"/>
      <c r="D4" s="192"/>
      <c r="E4" s="192"/>
      <c r="F4" s="192"/>
      <c r="G4" s="192"/>
    </row>
    <row r="5" spans="1:9" ht="21.95" customHeight="1" x14ac:dyDescent="0.5">
      <c r="A5" s="675" t="s">
        <v>13</v>
      </c>
      <c r="B5" s="193" t="s">
        <v>5</v>
      </c>
      <c r="C5" s="677" t="s">
        <v>1</v>
      </c>
      <c r="D5" s="679" t="s">
        <v>414</v>
      </c>
      <c r="E5" s="679" t="s">
        <v>415</v>
      </c>
      <c r="F5" s="679" t="s">
        <v>416</v>
      </c>
      <c r="G5" s="526"/>
      <c r="H5" s="612" t="s">
        <v>255</v>
      </c>
      <c r="I5" s="613" t="s">
        <v>381</v>
      </c>
    </row>
    <row r="6" spans="1:9" ht="21.95" customHeight="1" x14ac:dyDescent="0.2">
      <c r="A6" s="676"/>
      <c r="B6" s="194" t="s">
        <v>3</v>
      </c>
      <c r="C6" s="678"/>
      <c r="D6" s="671"/>
      <c r="E6" s="671"/>
      <c r="F6" s="671"/>
      <c r="G6" s="240"/>
      <c r="H6" s="614"/>
      <c r="I6" s="298"/>
    </row>
    <row r="7" spans="1:9" ht="21.95" customHeight="1" x14ac:dyDescent="0.55000000000000004">
      <c r="A7" s="195" t="s">
        <v>194</v>
      </c>
      <c r="B7" s="196" t="s">
        <v>2</v>
      </c>
      <c r="C7" s="197">
        <f>SUM(D7:F7)</f>
        <v>1301000</v>
      </c>
      <c r="D7" s="198">
        <f>D9</f>
        <v>989910</v>
      </c>
      <c r="E7" s="198">
        <f>E9</f>
        <v>170520</v>
      </c>
      <c r="F7" s="198">
        <f>F9</f>
        <v>140570</v>
      </c>
      <c r="G7" s="240"/>
      <c r="H7" s="589">
        <f>C7-1301000</f>
        <v>0</v>
      </c>
    </row>
    <row r="8" spans="1:9" ht="21.95" customHeight="1" x14ac:dyDescent="0.55000000000000004">
      <c r="A8" s="195"/>
      <c r="B8" s="196" t="s">
        <v>3</v>
      </c>
      <c r="C8" s="197"/>
      <c r="D8" s="198"/>
      <c r="E8" s="198"/>
      <c r="F8" s="198"/>
      <c r="G8" s="240"/>
    </row>
    <row r="9" spans="1:9" ht="21.95" customHeight="1" x14ac:dyDescent="0.55000000000000004">
      <c r="A9" s="199" t="s">
        <v>370</v>
      </c>
      <c r="B9" s="200" t="s">
        <v>2</v>
      </c>
      <c r="C9" s="201">
        <f>SUM(D9:F9)</f>
        <v>1301000</v>
      </c>
      <c r="D9" s="644">
        <f>D11</f>
        <v>989910</v>
      </c>
      <c r="E9" s="644">
        <f t="shared" ref="E9:F9" si="0">E11</f>
        <v>170520</v>
      </c>
      <c r="F9" s="644">
        <f t="shared" si="0"/>
        <v>140570</v>
      </c>
      <c r="G9" s="240"/>
    </row>
    <row r="10" spans="1:9" ht="21.95" customHeight="1" x14ac:dyDescent="0.55000000000000004">
      <c r="A10" s="230"/>
      <c r="B10" s="257" t="s">
        <v>3</v>
      </c>
      <c r="C10" s="493"/>
      <c r="D10" s="258"/>
      <c r="E10" s="258"/>
      <c r="F10" s="258"/>
      <c r="G10" s="240"/>
    </row>
    <row r="11" spans="1:9" ht="23.1" customHeight="1" x14ac:dyDescent="0.55000000000000004">
      <c r="A11" s="205" t="s">
        <v>338</v>
      </c>
      <c r="B11" s="246" t="s">
        <v>2</v>
      </c>
      <c r="C11" s="248">
        <f>SUM(D11:F11)</f>
        <v>1301000</v>
      </c>
      <c r="D11" s="248">
        <f>SUM(D15:D25)</f>
        <v>989910</v>
      </c>
      <c r="E11" s="248">
        <f>SUM(E15:E25)</f>
        <v>170520</v>
      </c>
      <c r="F11" s="248">
        <f>SUM(F15:F25)</f>
        <v>140570</v>
      </c>
      <c r="G11" s="240"/>
    </row>
    <row r="12" spans="1:9" ht="23.1" customHeight="1" x14ac:dyDescent="0.55000000000000004">
      <c r="A12" s="479"/>
      <c r="B12" s="241" t="s">
        <v>3</v>
      </c>
      <c r="C12" s="243"/>
      <c r="D12" s="243"/>
      <c r="E12" s="243"/>
      <c r="F12" s="243"/>
      <c r="G12" s="240"/>
    </row>
    <row r="13" spans="1:9" ht="23.1" customHeight="1" x14ac:dyDescent="0.55000000000000004">
      <c r="A13" s="206" t="s">
        <v>38</v>
      </c>
      <c r="B13" s="241"/>
      <c r="C13" s="243"/>
      <c r="D13" s="247"/>
      <c r="E13" s="247"/>
      <c r="F13" s="247"/>
      <c r="G13" s="240"/>
    </row>
    <row r="14" spans="1:9" ht="23.1" customHeight="1" x14ac:dyDescent="0.55000000000000004">
      <c r="A14" s="207" t="s">
        <v>9</v>
      </c>
      <c r="B14" s="241"/>
      <c r="C14" s="243"/>
      <c r="D14" s="247"/>
      <c r="E14" s="247"/>
      <c r="F14" s="247"/>
      <c r="G14" s="240"/>
    </row>
    <row r="15" spans="1:9" ht="23.1" customHeight="1" x14ac:dyDescent="0.55000000000000004">
      <c r="A15" s="208" t="s">
        <v>160</v>
      </c>
      <c r="B15" s="241" t="s">
        <v>2</v>
      </c>
      <c r="C15" s="243">
        <f>SUM(D15:F15)</f>
        <v>403200</v>
      </c>
      <c r="D15" s="255">
        <v>135380</v>
      </c>
      <c r="E15" s="255">
        <v>134820</v>
      </c>
      <c r="F15" s="255">
        <v>133000</v>
      </c>
      <c r="G15" s="240"/>
      <c r="H15" s="589">
        <v>403200</v>
      </c>
      <c r="I15" s="615">
        <f t="shared" ref="I15:I46" si="1">H15-C15</f>
        <v>0</v>
      </c>
    </row>
    <row r="16" spans="1:9" ht="23.1" customHeight="1" x14ac:dyDescent="0.55000000000000004">
      <c r="A16" s="207" t="s">
        <v>10</v>
      </c>
      <c r="B16" s="241"/>
      <c r="C16" s="243"/>
      <c r="D16" s="247"/>
      <c r="E16" s="247"/>
      <c r="F16" s="247"/>
      <c r="G16" s="240"/>
      <c r="I16" s="615">
        <f t="shared" si="1"/>
        <v>0</v>
      </c>
    </row>
    <row r="17" spans="1:9" ht="23.1" customHeight="1" x14ac:dyDescent="0.55000000000000004">
      <c r="A17" s="208" t="s">
        <v>161</v>
      </c>
      <c r="B17" s="241" t="s">
        <v>2</v>
      </c>
      <c r="C17" s="243">
        <f>SUM(D17:F17)</f>
        <v>18100</v>
      </c>
      <c r="D17" s="255">
        <v>5430</v>
      </c>
      <c r="E17" s="255">
        <v>9300</v>
      </c>
      <c r="F17" s="255">
        <v>3370</v>
      </c>
      <c r="G17" s="240"/>
      <c r="H17" s="589">
        <v>18100</v>
      </c>
      <c r="I17" s="615">
        <f t="shared" si="1"/>
        <v>0</v>
      </c>
    </row>
    <row r="18" spans="1:9" ht="23.1" customHeight="1" x14ac:dyDescent="0.55000000000000004">
      <c r="A18" s="208" t="s">
        <v>162</v>
      </c>
      <c r="B18" s="241" t="s">
        <v>2</v>
      </c>
      <c r="C18" s="243">
        <f>SUM(D18:F18)</f>
        <v>22000</v>
      </c>
      <c r="D18" s="255">
        <v>6600</v>
      </c>
      <c r="E18" s="255">
        <v>12700</v>
      </c>
      <c r="F18" s="255">
        <v>2700</v>
      </c>
      <c r="G18" s="240"/>
      <c r="H18" s="589">
        <v>22000</v>
      </c>
      <c r="I18" s="615">
        <f t="shared" si="1"/>
        <v>0</v>
      </c>
    </row>
    <row r="19" spans="1:9" ht="23.1" customHeight="1" x14ac:dyDescent="0.55000000000000004">
      <c r="A19" s="208" t="s">
        <v>163</v>
      </c>
      <c r="B19" s="241" t="s">
        <v>2</v>
      </c>
      <c r="C19" s="243">
        <f>SUM(D19:F19)</f>
        <v>820800</v>
      </c>
      <c r="D19" s="255">
        <v>820800</v>
      </c>
      <c r="E19" s="255"/>
      <c r="F19" s="255"/>
      <c r="G19" s="240"/>
      <c r="H19" s="589">
        <v>820800</v>
      </c>
      <c r="I19" s="615">
        <f t="shared" si="1"/>
        <v>0</v>
      </c>
    </row>
    <row r="20" spans="1:9" ht="23.1" customHeight="1" x14ac:dyDescent="0.55000000000000004">
      <c r="A20" s="207" t="s">
        <v>11</v>
      </c>
      <c r="B20" s="241"/>
      <c r="C20" s="243"/>
      <c r="D20" s="254"/>
      <c r="E20" s="254"/>
      <c r="F20" s="254"/>
      <c r="G20" s="240"/>
      <c r="I20" s="615">
        <f t="shared" si="1"/>
        <v>0</v>
      </c>
    </row>
    <row r="21" spans="1:9" ht="23.1" hidden="1" customHeight="1" x14ac:dyDescent="0.55000000000000004">
      <c r="A21" s="208" t="s">
        <v>253</v>
      </c>
      <c r="B21" s="241" t="s">
        <v>2</v>
      </c>
      <c r="C21" s="243">
        <f>SUM(D21:F21)</f>
        <v>0</v>
      </c>
      <c r="D21" s="255"/>
      <c r="E21" s="255"/>
      <c r="F21" s="255"/>
      <c r="G21" s="240"/>
      <c r="I21" s="615">
        <f t="shared" si="1"/>
        <v>0</v>
      </c>
    </row>
    <row r="22" spans="1:9" ht="23.1" customHeight="1" x14ac:dyDescent="0.55000000000000004">
      <c r="A22" s="208" t="s">
        <v>435</v>
      </c>
      <c r="B22" s="241" t="s">
        <v>2</v>
      </c>
      <c r="C22" s="243">
        <f>SUM(D22:F22)</f>
        <v>15000</v>
      </c>
      <c r="D22" s="255">
        <v>4500</v>
      </c>
      <c r="E22" s="255">
        <v>9000</v>
      </c>
      <c r="F22" s="255">
        <v>1500</v>
      </c>
      <c r="G22" s="240"/>
      <c r="H22" s="589">
        <v>15000</v>
      </c>
      <c r="I22" s="615">
        <f t="shared" si="1"/>
        <v>0</v>
      </c>
    </row>
    <row r="23" spans="1:9" ht="23.1" customHeight="1" x14ac:dyDescent="0.55000000000000004">
      <c r="A23" s="208" t="s">
        <v>164</v>
      </c>
      <c r="B23" s="245" t="s">
        <v>2</v>
      </c>
      <c r="C23" s="256">
        <f>SUM(D23:F23)</f>
        <v>7700</v>
      </c>
      <c r="D23" s="443">
        <v>3000</v>
      </c>
      <c r="E23" s="443">
        <v>4700</v>
      </c>
      <c r="F23" s="443">
        <v>0</v>
      </c>
      <c r="G23" s="240"/>
      <c r="H23" s="589">
        <v>7700</v>
      </c>
      <c r="I23" s="615">
        <f t="shared" si="1"/>
        <v>0</v>
      </c>
    </row>
    <row r="24" spans="1:9" ht="23.1" customHeight="1" x14ac:dyDescent="0.55000000000000004">
      <c r="A24" s="208" t="s">
        <v>165</v>
      </c>
      <c r="B24" s="241" t="s">
        <v>2</v>
      </c>
      <c r="C24" s="243">
        <f>SUM(D24:F24)</f>
        <v>12000</v>
      </c>
      <c r="D24" s="255">
        <v>12000</v>
      </c>
      <c r="E24" s="255"/>
      <c r="F24" s="255"/>
      <c r="G24" s="240"/>
      <c r="H24" s="589">
        <v>12000</v>
      </c>
      <c r="I24" s="615">
        <f t="shared" si="1"/>
        <v>0</v>
      </c>
    </row>
    <row r="25" spans="1:9" ht="23.1" customHeight="1" x14ac:dyDescent="0.55000000000000004">
      <c r="A25" s="223" t="s">
        <v>166</v>
      </c>
      <c r="B25" s="449" t="s">
        <v>2</v>
      </c>
      <c r="C25" s="450">
        <f>SUM(D25:F25)</f>
        <v>2200</v>
      </c>
      <c r="D25" s="452">
        <v>2200</v>
      </c>
      <c r="E25" s="452"/>
      <c r="F25" s="452"/>
      <c r="G25" s="240"/>
      <c r="H25" s="589">
        <v>2200</v>
      </c>
      <c r="I25" s="615">
        <f t="shared" si="1"/>
        <v>0</v>
      </c>
    </row>
    <row r="26" spans="1:9" ht="23.1" customHeight="1" x14ac:dyDescent="0.55000000000000004">
      <c r="A26" s="221"/>
      <c r="B26" s="236"/>
      <c r="C26" s="237"/>
      <c r="D26" s="211"/>
      <c r="E26" s="211"/>
      <c r="F26" s="211"/>
      <c r="G26" s="240"/>
      <c r="I26" s="615">
        <f t="shared" si="1"/>
        <v>0</v>
      </c>
    </row>
    <row r="27" spans="1:9" ht="23.1" customHeight="1" x14ac:dyDescent="0.55000000000000004">
      <c r="A27" s="468" t="s">
        <v>365</v>
      </c>
      <c r="B27" s="196" t="s">
        <v>2</v>
      </c>
      <c r="C27" s="197">
        <f>SUM(D27:F27)</f>
        <v>1301000</v>
      </c>
      <c r="D27" s="197">
        <f>D7</f>
        <v>989910</v>
      </c>
      <c r="E27" s="197">
        <f>E7</f>
        <v>170520</v>
      </c>
      <c r="F27" s="214">
        <f>F7</f>
        <v>140570</v>
      </c>
      <c r="G27" s="240"/>
      <c r="I27" s="615"/>
    </row>
    <row r="28" spans="1:9" ht="23.1" customHeight="1" x14ac:dyDescent="0.55000000000000004">
      <c r="A28" s="495"/>
      <c r="B28" s="196" t="s">
        <v>3</v>
      </c>
      <c r="C28" s="197"/>
      <c r="D28" s="198"/>
      <c r="E28" s="198"/>
      <c r="F28" s="198"/>
      <c r="G28" s="240"/>
      <c r="I28" s="615">
        <f t="shared" si="1"/>
        <v>0</v>
      </c>
    </row>
    <row r="29" spans="1:9" ht="23.1" customHeight="1" x14ac:dyDescent="0.55000000000000004">
      <c r="A29" s="195" t="s">
        <v>366</v>
      </c>
      <c r="B29" s="196" t="s">
        <v>2</v>
      </c>
      <c r="C29" s="197">
        <f>SUM(D29:F29)</f>
        <v>0</v>
      </c>
      <c r="D29" s="198">
        <v>0</v>
      </c>
      <c r="E29" s="198">
        <v>0</v>
      </c>
      <c r="F29" s="198">
        <v>0</v>
      </c>
      <c r="G29" s="240"/>
      <c r="I29" s="615">
        <f t="shared" si="1"/>
        <v>0</v>
      </c>
    </row>
    <row r="30" spans="1:9" ht="23.1" customHeight="1" x14ac:dyDescent="0.55000000000000004">
      <c r="A30" s="495"/>
      <c r="B30" s="196" t="s">
        <v>3</v>
      </c>
      <c r="C30" s="197"/>
      <c r="D30" s="198"/>
      <c r="E30" s="198"/>
      <c r="F30" s="198"/>
      <c r="G30" s="240"/>
      <c r="I30" s="615">
        <f t="shared" si="1"/>
        <v>0</v>
      </c>
    </row>
    <row r="31" spans="1:9" ht="23.1" customHeight="1" x14ac:dyDescent="0.55000000000000004">
      <c r="A31" s="673" t="s">
        <v>1</v>
      </c>
      <c r="B31" s="225" t="s">
        <v>2</v>
      </c>
      <c r="C31" s="226">
        <f>SUM(D31:F31)</f>
        <v>1301000</v>
      </c>
      <c r="D31" s="226">
        <f>D27+D29</f>
        <v>989910</v>
      </c>
      <c r="E31" s="226">
        <f t="shared" ref="E31:F31" si="2">E27+E29</f>
        <v>170520</v>
      </c>
      <c r="F31" s="226">
        <f t="shared" si="2"/>
        <v>140570</v>
      </c>
      <c r="G31" s="240"/>
      <c r="I31" s="615"/>
    </row>
    <row r="32" spans="1:9" ht="23.1" customHeight="1" x14ac:dyDescent="0.55000000000000004">
      <c r="A32" s="674"/>
      <c r="B32" s="225" t="s">
        <v>3</v>
      </c>
      <c r="C32" s="226"/>
      <c r="D32" s="227"/>
      <c r="E32" s="227"/>
      <c r="F32" s="227"/>
      <c r="G32" s="240"/>
      <c r="I32" s="615">
        <f t="shared" si="1"/>
        <v>0</v>
      </c>
    </row>
    <row r="33" spans="1:9" ht="23.1" customHeight="1" x14ac:dyDescent="0.55000000000000004">
      <c r="A33" s="190" t="s">
        <v>227</v>
      </c>
      <c r="B33" s="216"/>
      <c r="C33" s="217"/>
      <c r="D33" s="218"/>
      <c r="E33" s="218"/>
      <c r="F33" s="218"/>
      <c r="G33" s="240"/>
      <c r="I33" s="615">
        <f t="shared" si="1"/>
        <v>0</v>
      </c>
    </row>
    <row r="34" spans="1:9" ht="21.95" customHeight="1" x14ac:dyDescent="0.55000000000000004">
      <c r="B34" s="216"/>
      <c r="C34" s="217">
        <f>C31-C7</f>
        <v>0</v>
      </c>
      <c r="D34" s="217">
        <f>D31-D7</f>
        <v>0</v>
      </c>
      <c r="E34" s="217">
        <f>E31-E7</f>
        <v>0</v>
      </c>
      <c r="F34" s="217">
        <f>F31-F7</f>
        <v>0</v>
      </c>
      <c r="G34" s="219"/>
      <c r="I34" s="615">
        <f t="shared" si="1"/>
        <v>0</v>
      </c>
    </row>
    <row r="35" spans="1:9" s="12" customFormat="1" ht="24" customHeight="1" x14ac:dyDescent="0.55000000000000004">
      <c r="C35" s="617"/>
      <c r="D35" s="618"/>
      <c r="H35" s="589"/>
      <c r="I35" s="615">
        <f t="shared" si="1"/>
        <v>0</v>
      </c>
    </row>
    <row r="36" spans="1:9" s="12" customFormat="1" x14ac:dyDescent="0.55000000000000004">
      <c r="H36" s="619">
        <f>C11*30/100</f>
        <v>390300</v>
      </c>
      <c r="I36" s="618">
        <f>D15+D17+D18+D22+D23+D24+D25</f>
        <v>169110</v>
      </c>
    </row>
    <row r="37" spans="1:9" s="12" customFormat="1" x14ac:dyDescent="0.55000000000000004">
      <c r="H37" s="617"/>
    </row>
    <row r="38" spans="1:9" s="12" customFormat="1" x14ac:dyDescent="0.55000000000000004">
      <c r="C38" s="617"/>
      <c r="H38" s="589"/>
      <c r="I38" s="615">
        <f t="shared" si="1"/>
        <v>0</v>
      </c>
    </row>
    <row r="39" spans="1:9" x14ac:dyDescent="0.55000000000000004">
      <c r="I39" s="615">
        <f t="shared" si="1"/>
        <v>0</v>
      </c>
    </row>
    <row r="40" spans="1:9" x14ac:dyDescent="0.55000000000000004">
      <c r="I40" s="615">
        <f t="shared" si="1"/>
        <v>0</v>
      </c>
    </row>
    <row r="41" spans="1:9" x14ac:dyDescent="0.55000000000000004">
      <c r="I41" s="615">
        <f t="shared" si="1"/>
        <v>0</v>
      </c>
    </row>
    <row r="42" spans="1:9" x14ac:dyDescent="0.55000000000000004">
      <c r="I42" s="615">
        <f t="shared" si="1"/>
        <v>0</v>
      </c>
    </row>
    <row r="43" spans="1:9" x14ac:dyDescent="0.55000000000000004">
      <c r="I43" s="615">
        <f t="shared" si="1"/>
        <v>0</v>
      </c>
    </row>
    <row r="44" spans="1:9" x14ac:dyDescent="0.55000000000000004">
      <c r="I44" s="615">
        <f t="shared" si="1"/>
        <v>0</v>
      </c>
    </row>
    <row r="45" spans="1:9" x14ac:dyDescent="0.55000000000000004">
      <c r="I45" s="615">
        <f t="shared" si="1"/>
        <v>0</v>
      </c>
    </row>
    <row r="46" spans="1:9" x14ac:dyDescent="0.55000000000000004">
      <c r="I46" s="615">
        <f t="shared" si="1"/>
        <v>0</v>
      </c>
    </row>
    <row r="47" spans="1:9" x14ac:dyDescent="0.55000000000000004">
      <c r="I47" s="615">
        <f t="shared" ref="I47:I67" si="3">H47-C47</f>
        <v>0</v>
      </c>
    </row>
    <row r="48" spans="1:9" x14ac:dyDescent="0.55000000000000004">
      <c r="I48" s="615">
        <f t="shared" si="3"/>
        <v>0</v>
      </c>
    </row>
    <row r="49" spans="9:9" x14ac:dyDescent="0.55000000000000004">
      <c r="I49" s="615">
        <f t="shared" si="3"/>
        <v>0</v>
      </c>
    </row>
    <row r="50" spans="9:9" x14ac:dyDescent="0.55000000000000004">
      <c r="I50" s="615">
        <f t="shared" si="3"/>
        <v>0</v>
      </c>
    </row>
    <row r="51" spans="9:9" x14ac:dyDescent="0.55000000000000004">
      <c r="I51" s="615">
        <f t="shared" si="3"/>
        <v>0</v>
      </c>
    </row>
    <row r="52" spans="9:9" x14ac:dyDescent="0.55000000000000004">
      <c r="I52" s="615">
        <f t="shared" si="3"/>
        <v>0</v>
      </c>
    </row>
    <row r="53" spans="9:9" x14ac:dyDescent="0.55000000000000004">
      <c r="I53" s="615">
        <f t="shared" si="3"/>
        <v>0</v>
      </c>
    </row>
    <row r="54" spans="9:9" x14ac:dyDescent="0.55000000000000004">
      <c r="I54" s="615">
        <f t="shared" si="3"/>
        <v>0</v>
      </c>
    </row>
    <row r="55" spans="9:9" x14ac:dyDescent="0.55000000000000004">
      <c r="I55" s="615">
        <f t="shared" si="3"/>
        <v>0</v>
      </c>
    </row>
    <row r="56" spans="9:9" x14ac:dyDescent="0.55000000000000004">
      <c r="I56" s="615">
        <f t="shared" si="3"/>
        <v>0</v>
      </c>
    </row>
    <row r="57" spans="9:9" x14ac:dyDescent="0.55000000000000004">
      <c r="I57" s="615">
        <f t="shared" si="3"/>
        <v>0</v>
      </c>
    </row>
    <row r="58" spans="9:9" x14ac:dyDescent="0.55000000000000004">
      <c r="I58" s="615">
        <f t="shared" si="3"/>
        <v>0</v>
      </c>
    </row>
    <row r="59" spans="9:9" x14ac:dyDescent="0.55000000000000004">
      <c r="I59" s="615">
        <f t="shared" si="3"/>
        <v>0</v>
      </c>
    </row>
    <row r="60" spans="9:9" x14ac:dyDescent="0.55000000000000004">
      <c r="I60" s="615">
        <f t="shared" si="3"/>
        <v>0</v>
      </c>
    </row>
    <row r="61" spans="9:9" x14ac:dyDescent="0.55000000000000004">
      <c r="I61" s="615">
        <f t="shared" si="3"/>
        <v>0</v>
      </c>
    </row>
    <row r="62" spans="9:9" x14ac:dyDescent="0.55000000000000004">
      <c r="I62" s="615">
        <f t="shared" si="3"/>
        <v>0</v>
      </c>
    </row>
    <row r="63" spans="9:9" x14ac:dyDescent="0.55000000000000004">
      <c r="I63" s="615">
        <f t="shared" si="3"/>
        <v>0</v>
      </c>
    </row>
    <row r="64" spans="9:9" x14ac:dyDescent="0.55000000000000004">
      <c r="I64" s="615">
        <f t="shared" si="3"/>
        <v>0</v>
      </c>
    </row>
    <row r="65" spans="9:9" x14ac:dyDescent="0.55000000000000004">
      <c r="I65" s="615">
        <f t="shared" si="3"/>
        <v>0</v>
      </c>
    </row>
    <row r="66" spans="9:9" x14ac:dyDescent="0.55000000000000004">
      <c r="I66" s="615">
        <f t="shared" si="3"/>
        <v>0</v>
      </c>
    </row>
    <row r="67" spans="9:9" x14ac:dyDescent="0.55000000000000004">
      <c r="I67" s="615">
        <f t="shared" si="3"/>
        <v>0</v>
      </c>
    </row>
  </sheetData>
  <mergeCells count="7">
    <mergeCell ref="A31:A32"/>
    <mergeCell ref="A1:F1"/>
    <mergeCell ref="A5:A6"/>
    <mergeCell ref="C5:C6"/>
    <mergeCell ref="D5:D6"/>
    <mergeCell ref="E5:E6"/>
    <mergeCell ref="F5:F6"/>
  </mergeCells>
  <pageMargins left="0.59055118110236227" right="0.39370078740157483" top="0.55118110236220474" bottom="0.19685039370078741" header="0.31496062992125984" footer="0.11811023622047245"/>
  <pageSetup paperSize="9" scale="7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</sheetPr>
  <dimension ref="A1:I67"/>
  <sheetViews>
    <sheetView topLeftCell="A38" workbookViewId="0">
      <selection activeCell="A51" sqref="A51"/>
    </sheetView>
  </sheetViews>
  <sheetFormatPr defaultColWidth="9" defaultRowHeight="24" x14ac:dyDescent="0.55000000000000004"/>
  <cols>
    <col min="1" max="1" width="80.625" style="122" customWidth="1"/>
    <col min="2" max="2" width="8.125" style="122" customWidth="1"/>
    <col min="3" max="3" width="22.625" style="220" customWidth="1"/>
    <col min="4" max="6" width="22.625" style="122" customWidth="1"/>
    <col min="7" max="7" width="2.25" style="122" customWidth="1"/>
    <col min="8" max="8" width="13.375" style="589" customWidth="1"/>
    <col min="9" max="9" width="12.75" style="12" customWidth="1"/>
    <col min="10" max="18" width="39.375" style="122" customWidth="1"/>
    <col min="19" max="16384" width="9" style="122"/>
  </cols>
  <sheetData>
    <row r="1" spans="1:9" x14ac:dyDescent="0.55000000000000004">
      <c r="A1" s="672" t="s">
        <v>411</v>
      </c>
      <c r="B1" s="672"/>
      <c r="C1" s="672"/>
      <c r="D1" s="672"/>
      <c r="E1" s="672"/>
      <c r="F1" s="672"/>
      <c r="G1" s="240"/>
    </row>
    <row r="2" spans="1:9" ht="21.95" customHeight="1" x14ac:dyDescent="0.55000000000000004">
      <c r="A2" s="188" t="s">
        <v>55</v>
      </c>
      <c r="B2" s="188"/>
      <c r="C2" s="189"/>
      <c r="D2" s="188"/>
      <c r="E2" s="188"/>
      <c r="F2" s="188"/>
      <c r="G2" s="188"/>
    </row>
    <row r="3" spans="1:9" ht="21.95" customHeight="1" x14ac:dyDescent="0.55000000000000004">
      <c r="A3" s="190" t="s">
        <v>179</v>
      </c>
      <c r="B3" s="190"/>
      <c r="C3" s="191"/>
      <c r="E3" s="192"/>
      <c r="F3" s="192" t="s">
        <v>28</v>
      </c>
      <c r="G3" s="192"/>
    </row>
    <row r="4" spans="1:9" ht="10.5" customHeight="1" x14ac:dyDescent="0.55000000000000004">
      <c r="A4" s="190"/>
      <c r="B4" s="190"/>
      <c r="C4" s="191"/>
      <c r="D4" s="192"/>
      <c r="E4" s="192"/>
      <c r="F4" s="192"/>
      <c r="G4" s="192"/>
    </row>
    <row r="5" spans="1:9" ht="23.1" customHeight="1" x14ac:dyDescent="0.5">
      <c r="A5" s="675" t="s">
        <v>13</v>
      </c>
      <c r="B5" s="193" t="s">
        <v>5</v>
      </c>
      <c r="C5" s="677" t="s">
        <v>1</v>
      </c>
      <c r="D5" s="679" t="s">
        <v>414</v>
      </c>
      <c r="E5" s="679" t="s">
        <v>415</v>
      </c>
      <c r="F5" s="679" t="s">
        <v>416</v>
      </c>
      <c r="G5" s="526"/>
      <c r="H5" s="612" t="s">
        <v>255</v>
      </c>
      <c r="I5" s="613" t="s">
        <v>381</v>
      </c>
    </row>
    <row r="6" spans="1:9" ht="23.1" customHeight="1" x14ac:dyDescent="0.2">
      <c r="A6" s="676"/>
      <c r="B6" s="194" t="s">
        <v>3</v>
      </c>
      <c r="C6" s="678"/>
      <c r="D6" s="671"/>
      <c r="E6" s="671"/>
      <c r="F6" s="671"/>
      <c r="G6" s="526"/>
      <c r="H6" s="614"/>
      <c r="I6" s="298"/>
    </row>
    <row r="7" spans="1:9" ht="23.1" customHeight="1" x14ac:dyDescent="0.55000000000000004">
      <c r="A7" s="195" t="s">
        <v>194</v>
      </c>
      <c r="B7" s="196" t="s">
        <v>2</v>
      </c>
      <c r="C7" s="197">
        <f>SUM(D7:F7)</f>
        <v>829700</v>
      </c>
      <c r="D7" s="198">
        <f>D9</f>
        <v>582300</v>
      </c>
      <c r="E7" s="198">
        <f>E9</f>
        <v>80000</v>
      </c>
      <c r="F7" s="198">
        <f>F9</f>
        <v>167400</v>
      </c>
      <c r="G7" s="526"/>
      <c r="H7" s="589">
        <f>C7-829700</f>
        <v>0</v>
      </c>
    </row>
    <row r="8" spans="1:9" ht="23.1" customHeight="1" x14ac:dyDescent="0.55000000000000004">
      <c r="A8" s="195"/>
      <c r="B8" s="196" t="s">
        <v>3</v>
      </c>
      <c r="C8" s="197"/>
      <c r="D8" s="198"/>
      <c r="E8" s="198"/>
      <c r="F8" s="198"/>
      <c r="G8" s="526"/>
    </row>
    <row r="9" spans="1:9" ht="23.1" customHeight="1" x14ac:dyDescent="0.55000000000000004">
      <c r="A9" s="199" t="s">
        <v>371</v>
      </c>
      <c r="B9" s="200" t="s">
        <v>2</v>
      </c>
      <c r="C9" s="201">
        <f>SUM(D9:F9)</f>
        <v>829700</v>
      </c>
      <c r="D9" s="201">
        <f>D11</f>
        <v>582300</v>
      </c>
      <c r="E9" s="201">
        <f t="shared" ref="E9:F9" si="0">E11</f>
        <v>80000</v>
      </c>
      <c r="F9" s="201">
        <f t="shared" si="0"/>
        <v>167400</v>
      </c>
      <c r="G9" s="526"/>
    </row>
    <row r="10" spans="1:9" ht="23.1" customHeight="1" x14ac:dyDescent="0.55000000000000004">
      <c r="A10" s="230"/>
      <c r="B10" s="200" t="s">
        <v>3</v>
      </c>
      <c r="C10" s="201"/>
      <c r="D10" s="202"/>
      <c r="E10" s="202"/>
      <c r="F10" s="202"/>
      <c r="G10" s="526"/>
    </row>
    <row r="11" spans="1:9" ht="23.1" customHeight="1" x14ac:dyDescent="0.55000000000000004">
      <c r="A11" s="205" t="s">
        <v>338</v>
      </c>
      <c r="B11" s="525" t="s">
        <v>2</v>
      </c>
      <c r="C11" s="248">
        <f>SUM(D11:F11)</f>
        <v>829700</v>
      </c>
      <c r="D11" s="248">
        <f>SUM(D15:D25)</f>
        <v>582300</v>
      </c>
      <c r="E11" s="248">
        <f>SUM(E15:E25)</f>
        <v>80000</v>
      </c>
      <c r="F11" s="248">
        <f>SUM(F15:F25)</f>
        <v>167400</v>
      </c>
      <c r="G11" s="526"/>
    </row>
    <row r="12" spans="1:9" ht="23.1" customHeight="1" x14ac:dyDescent="0.55000000000000004">
      <c r="A12" s="205"/>
      <c r="B12" s="524" t="s">
        <v>3</v>
      </c>
      <c r="C12" s="243"/>
      <c r="D12" s="243"/>
      <c r="E12" s="243"/>
      <c r="F12" s="243"/>
      <c r="G12" s="480"/>
      <c r="I12" s="12">
        <f>14*100*20</f>
        <v>28000</v>
      </c>
    </row>
    <row r="13" spans="1:9" ht="23.1" customHeight="1" x14ac:dyDescent="0.55000000000000004">
      <c r="A13" s="206" t="s">
        <v>38</v>
      </c>
      <c r="B13" s="241"/>
      <c r="C13" s="243"/>
      <c r="D13" s="247"/>
      <c r="E13" s="247"/>
      <c r="F13" s="247"/>
      <c r="G13" s="253"/>
      <c r="I13" s="12">
        <f>420*8*14</f>
        <v>47040</v>
      </c>
    </row>
    <row r="14" spans="1:9" ht="23.1" customHeight="1" x14ac:dyDescent="0.55000000000000004">
      <c r="A14" s="207" t="s">
        <v>9</v>
      </c>
      <c r="B14" s="241"/>
      <c r="C14" s="243"/>
      <c r="D14" s="247"/>
      <c r="E14" s="247"/>
      <c r="F14" s="247"/>
      <c r="G14" s="253"/>
      <c r="I14" s="12">
        <f>SUM(I12:I13)</f>
        <v>75040</v>
      </c>
    </row>
    <row r="15" spans="1:9" ht="23.1" customHeight="1" x14ac:dyDescent="0.55000000000000004">
      <c r="A15" s="208" t="s">
        <v>160</v>
      </c>
      <c r="B15" s="241" t="s">
        <v>2</v>
      </c>
      <c r="C15" s="243">
        <f>SUM(D15:F15)</f>
        <v>267400</v>
      </c>
      <c r="D15" s="255">
        <v>50000</v>
      </c>
      <c r="E15" s="255">
        <v>50000</v>
      </c>
      <c r="F15" s="255">
        <v>167400</v>
      </c>
      <c r="G15" s="483"/>
      <c r="H15" s="589">
        <v>267400</v>
      </c>
      <c r="I15" s="615">
        <f t="shared" ref="I15:I46" si="1">H15-C15</f>
        <v>0</v>
      </c>
    </row>
    <row r="16" spans="1:9" ht="23.1" customHeight="1" x14ac:dyDescent="0.55000000000000004">
      <c r="A16" s="207" t="s">
        <v>10</v>
      </c>
      <c r="B16" s="241"/>
      <c r="C16" s="243"/>
      <c r="D16" s="247"/>
      <c r="E16" s="247"/>
      <c r="F16" s="247"/>
      <c r="G16" s="253"/>
      <c r="I16" s="615">
        <f t="shared" si="1"/>
        <v>0</v>
      </c>
    </row>
    <row r="17" spans="1:9" ht="23.1" customHeight="1" x14ac:dyDescent="0.55000000000000004">
      <c r="A17" s="208" t="s">
        <v>161</v>
      </c>
      <c r="B17" s="241" t="s">
        <v>2</v>
      </c>
      <c r="C17" s="243">
        <f>SUM(D17:F17)</f>
        <v>18100</v>
      </c>
      <c r="D17" s="255">
        <v>18100</v>
      </c>
      <c r="E17" s="255"/>
      <c r="F17" s="255"/>
      <c r="G17" s="483"/>
      <c r="H17" s="589">
        <v>18100</v>
      </c>
      <c r="I17" s="615">
        <f t="shared" si="1"/>
        <v>0</v>
      </c>
    </row>
    <row r="18" spans="1:9" ht="23.1" customHeight="1" x14ac:dyDescent="0.55000000000000004">
      <c r="A18" s="208" t="s">
        <v>162</v>
      </c>
      <c r="B18" s="241" t="s">
        <v>2</v>
      </c>
      <c r="C18" s="243">
        <f>SUM(D18:F18)</f>
        <v>22800</v>
      </c>
      <c r="D18" s="255">
        <v>22800</v>
      </c>
      <c r="E18" s="255"/>
      <c r="F18" s="255"/>
      <c r="G18" s="483"/>
      <c r="H18" s="589">
        <v>22800</v>
      </c>
      <c r="I18" s="615">
        <f t="shared" si="1"/>
        <v>0</v>
      </c>
    </row>
    <row r="19" spans="1:9" ht="23.1" customHeight="1" x14ac:dyDescent="0.55000000000000004">
      <c r="A19" s="208" t="s">
        <v>163</v>
      </c>
      <c r="B19" s="241" t="s">
        <v>2</v>
      </c>
      <c r="C19" s="243">
        <f>SUM(D19:F19)</f>
        <v>367200</v>
      </c>
      <c r="D19" s="255">
        <v>367200</v>
      </c>
      <c r="E19" s="255"/>
      <c r="F19" s="255"/>
      <c r="G19" s="483"/>
      <c r="H19" s="589">
        <v>367200</v>
      </c>
      <c r="I19" s="615">
        <f t="shared" si="1"/>
        <v>0</v>
      </c>
    </row>
    <row r="20" spans="1:9" ht="23.1" customHeight="1" x14ac:dyDescent="0.55000000000000004">
      <c r="A20" s="207" t="s">
        <v>11</v>
      </c>
      <c r="B20" s="241"/>
      <c r="C20" s="243"/>
      <c r="D20" s="254"/>
      <c r="E20" s="254"/>
      <c r="F20" s="254"/>
      <c r="G20" s="529"/>
      <c r="I20" s="615">
        <f t="shared" si="1"/>
        <v>0</v>
      </c>
    </row>
    <row r="21" spans="1:9" ht="23.1" hidden="1" customHeight="1" x14ac:dyDescent="0.55000000000000004">
      <c r="A21" s="208" t="s">
        <v>253</v>
      </c>
      <c r="B21" s="241" t="s">
        <v>2</v>
      </c>
      <c r="C21" s="243">
        <f>SUM(D21:F21)</f>
        <v>0</v>
      </c>
      <c r="D21" s="254"/>
      <c r="E21" s="254"/>
      <c r="F21" s="254"/>
      <c r="G21" s="529"/>
      <c r="I21" s="615">
        <f t="shared" si="1"/>
        <v>0</v>
      </c>
    </row>
    <row r="22" spans="1:9" ht="23.1" customHeight="1" x14ac:dyDescent="0.55000000000000004">
      <c r="A22" s="208" t="s">
        <v>435</v>
      </c>
      <c r="B22" s="245" t="s">
        <v>2</v>
      </c>
      <c r="C22" s="256">
        <f>SUM(D22:F22)</f>
        <v>90000</v>
      </c>
      <c r="D22" s="443">
        <v>60000</v>
      </c>
      <c r="E22" s="443">
        <v>30000</v>
      </c>
      <c r="F22" s="443"/>
      <c r="G22" s="483"/>
      <c r="H22" s="589">
        <v>90000</v>
      </c>
      <c r="I22" s="615">
        <f t="shared" si="1"/>
        <v>0</v>
      </c>
    </row>
    <row r="23" spans="1:9" ht="23.1" customHeight="1" x14ac:dyDescent="0.55000000000000004">
      <c r="A23" s="208" t="s">
        <v>164</v>
      </c>
      <c r="B23" s="241" t="s">
        <v>2</v>
      </c>
      <c r="C23" s="243">
        <f>SUM(D23:F23)</f>
        <v>50000</v>
      </c>
      <c r="D23" s="255">
        <v>50000</v>
      </c>
      <c r="E23" s="255"/>
      <c r="F23" s="255"/>
      <c r="G23" s="483"/>
      <c r="H23" s="589">
        <v>50000</v>
      </c>
      <c r="I23" s="615">
        <f t="shared" si="1"/>
        <v>0</v>
      </c>
    </row>
    <row r="24" spans="1:9" ht="23.1" customHeight="1" x14ac:dyDescent="0.55000000000000004">
      <c r="A24" s="208" t="s">
        <v>165</v>
      </c>
      <c r="B24" s="241" t="s">
        <v>2</v>
      </c>
      <c r="C24" s="243">
        <f>SUM(D24:F24)</f>
        <v>12000</v>
      </c>
      <c r="D24" s="255">
        <v>12000</v>
      </c>
      <c r="E24" s="255"/>
      <c r="F24" s="255"/>
      <c r="G24" s="483"/>
      <c r="H24" s="589">
        <v>12000</v>
      </c>
      <c r="I24" s="615">
        <f t="shared" si="1"/>
        <v>0</v>
      </c>
    </row>
    <row r="25" spans="1:9" ht="23.1" customHeight="1" x14ac:dyDescent="0.55000000000000004">
      <c r="A25" s="223" t="s">
        <v>166</v>
      </c>
      <c r="B25" s="449" t="s">
        <v>2</v>
      </c>
      <c r="C25" s="450">
        <f>SUM(D25:F25)</f>
        <v>2200</v>
      </c>
      <c r="D25" s="462">
        <v>2200</v>
      </c>
      <c r="E25" s="462"/>
      <c r="F25" s="462"/>
      <c r="G25" s="483"/>
      <c r="H25" s="589">
        <v>2200</v>
      </c>
      <c r="I25" s="615">
        <f t="shared" si="1"/>
        <v>0</v>
      </c>
    </row>
    <row r="26" spans="1:9" ht="23.1" customHeight="1" x14ac:dyDescent="0.55000000000000004">
      <c r="A26" s="223"/>
      <c r="B26" s="210"/>
      <c r="C26" s="494"/>
      <c r="D26" s="209"/>
      <c r="E26" s="209"/>
      <c r="F26" s="211"/>
      <c r="G26" s="483"/>
      <c r="I26" s="615">
        <f t="shared" si="1"/>
        <v>0</v>
      </c>
    </row>
    <row r="27" spans="1:9" ht="23.1" customHeight="1" x14ac:dyDescent="0.55000000000000004">
      <c r="A27" s="468" t="s">
        <v>365</v>
      </c>
      <c r="B27" s="196" t="s">
        <v>2</v>
      </c>
      <c r="C27" s="197">
        <f>SUM(D27:F27)</f>
        <v>829700</v>
      </c>
      <c r="D27" s="197">
        <f>D7</f>
        <v>582300</v>
      </c>
      <c r="E27" s="197">
        <f>E7</f>
        <v>80000</v>
      </c>
      <c r="F27" s="214">
        <f>F7</f>
        <v>167400</v>
      </c>
      <c r="G27" s="483"/>
      <c r="I27" s="615">
        <f t="shared" si="1"/>
        <v>-829700</v>
      </c>
    </row>
    <row r="28" spans="1:9" ht="23.1" customHeight="1" x14ac:dyDescent="0.55000000000000004">
      <c r="A28" s="495"/>
      <c r="B28" s="196" t="s">
        <v>3</v>
      </c>
      <c r="C28" s="197"/>
      <c r="D28" s="198"/>
      <c r="E28" s="198"/>
      <c r="F28" s="198"/>
      <c r="G28" s="483"/>
      <c r="I28" s="615">
        <f t="shared" si="1"/>
        <v>0</v>
      </c>
    </row>
    <row r="29" spans="1:9" ht="23.1" customHeight="1" x14ac:dyDescent="0.55000000000000004">
      <c r="A29" s="195" t="s">
        <v>366</v>
      </c>
      <c r="B29" s="196" t="s">
        <v>2</v>
      </c>
      <c r="C29" s="197">
        <f>SUM(D29:F29)</f>
        <v>0</v>
      </c>
      <c r="D29" s="198">
        <v>0</v>
      </c>
      <c r="E29" s="198">
        <v>0</v>
      </c>
      <c r="F29" s="198">
        <v>0</v>
      </c>
      <c r="G29" s="483"/>
      <c r="I29" s="615">
        <f t="shared" si="1"/>
        <v>0</v>
      </c>
    </row>
    <row r="30" spans="1:9" ht="23.1" customHeight="1" x14ac:dyDescent="0.55000000000000004">
      <c r="A30" s="495"/>
      <c r="B30" s="196" t="s">
        <v>3</v>
      </c>
      <c r="C30" s="197"/>
      <c r="D30" s="198"/>
      <c r="E30" s="198"/>
      <c r="F30" s="198"/>
      <c r="G30" s="483"/>
      <c r="I30" s="615">
        <f t="shared" si="1"/>
        <v>0</v>
      </c>
    </row>
    <row r="31" spans="1:9" ht="23.1" customHeight="1" x14ac:dyDescent="0.55000000000000004">
      <c r="A31" s="673" t="s">
        <v>1</v>
      </c>
      <c r="B31" s="225" t="s">
        <v>2</v>
      </c>
      <c r="C31" s="226">
        <f>SUM(D31:F31)</f>
        <v>829700</v>
      </c>
      <c r="D31" s="226">
        <f>D27+D29</f>
        <v>582300</v>
      </c>
      <c r="E31" s="226">
        <f t="shared" ref="E31:F31" si="2">E27+E29</f>
        <v>80000</v>
      </c>
      <c r="F31" s="226">
        <f t="shared" si="2"/>
        <v>167400</v>
      </c>
      <c r="G31" s="483"/>
      <c r="I31" s="615">
        <f t="shared" si="1"/>
        <v>-829700</v>
      </c>
    </row>
    <row r="32" spans="1:9" ht="23.1" customHeight="1" x14ac:dyDescent="0.55000000000000004">
      <c r="A32" s="674"/>
      <c r="B32" s="225" t="s">
        <v>3</v>
      </c>
      <c r="C32" s="226"/>
      <c r="D32" s="227"/>
      <c r="E32" s="227"/>
      <c r="F32" s="227"/>
      <c r="G32" s="483"/>
      <c r="I32" s="615">
        <f t="shared" si="1"/>
        <v>0</v>
      </c>
    </row>
    <row r="33" spans="1:9" ht="21.95" hidden="1" customHeight="1" x14ac:dyDescent="0.55000000000000004">
      <c r="A33" s="216"/>
      <c r="B33" s="216"/>
      <c r="C33" s="217"/>
      <c r="D33" s="218"/>
      <c r="E33" s="218"/>
      <c r="F33" s="218"/>
      <c r="G33" s="218"/>
      <c r="I33" s="615">
        <f t="shared" si="1"/>
        <v>0</v>
      </c>
    </row>
    <row r="34" spans="1:9" ht="22.5" customHeight="1" x14ac:dyDescent="0.55000000000000004">
      <c r="A34" s="190" t="s">
        <v>226</v>
      </c>
      <c r="B34" s="216"/>
      <c r="C34" s="217"/>
      <c r="D34" s="218"/>
      <c r="E34" s="219"/>
      <c r="F34" s="219"/>
      <c r="G34" s="219"/>
      <c r="I34" s="615">
        <f t="shared" si="1"/>
        <v>0</v>
      </c>
    </row>
    <row r="35" spans="1:9" ht="21.75" customHeight="1" x14ac:dyDescent="0.55000000000000004">
      <c r="C35" s="315">
        <f>C31-C7</f>
        <v>0</v>
      </c>
      <c r="D35" s="315">
        <f t="shared" ref="D35:F35" si="3">D31-D7</f>
        <v>0</v>
      </c>
      <c r="E35" s="315">
        <f t="shared" si="3"/>
        <v>0</v>
      </c>
      <c r="F35" s="315">
        <f t="shared" si="3"/>
        <v>0</v>
      </c>
      <c r="I35" s="615">
        <f t="shared" si="1"/>
        <v>0</v>
      </c>
    </row>
    <row r="36" spans="1:9" s="12" customFormat="1" x14ac:dyDescent="0.55000000000000004">
      <c r="C36" s="617"/>
      <c r="D36" s="618"/>
      <c r="H36" s="589"/>
      <c r="I36" s="615">
        <f t="shared" si="1"/>
        <v>0</v>
      </c>
    </row>
    <row r="37" spans="1:9" s="12" customFormat="1" x14ac:dyDescent="0.55000000000000004">
      <c r="C37" s="619">
        <f>C7*30/100</f>
        <v>248910</v>
      </c>
      <c r="D37" s="618">
        <f>D15+D17+D22+D23+D24+D25+D18</f>
        <v>215100</v>
      </c>
      <c r="E37" s="618">
        <f>C37-D37</f>
        <v>33810</v>
      </c>
      <c r="H37" s="589"/>
      <c r="I37" s="615">
        <f t="shared" si="1"/>
        <v>-248910</v>
      </c>
    </row>
    <row r="38" spans="1:9" s="12" customFormat="1" x14ac:dyDescent="0.55000000000000004">
      <c r="C38" s="619">
        <f>C17+C18+C22+C23+C24+C25</f>
        <v>195100</v>
      </c>
      <c r="E38" s="618"/>
      <c r="H38" s="589"/>
      <c r="I38" s="615">
        <f t="shared" si="1"/>
        <v>-195100</v>
      </c>
    </row>
    <row r="39" spans="1:9" s="12" customFormat="1" x14ac:dyDescent="0.55000000000000004">
      <c r="C39" s="619">
        <f>C37-C38</f>
        <v>53810</v>
      </c>
      <c r="E39" s="618">
        <f>D25+D24+D23+D22+D17</f>
        <v>142300</v>
      </c>
      <c r="H39" s="589"/>
      <c r="I39" s="615">
        <f t="shared" si="1"/>
        <v>-53810</v>
      </c>
    </row>
    <row r="40" spans="1:9" s="12" customFormat="1" x14ac:dyDescent="0.55000000000000004">
      <c r="C40" s="617"/>
      <c r="H40" s="589"/>
      <c r="I40" s="615">
        <f t="shared" si="1"/>
        <v>0</v>
      </c>
    </row>
    <row r="41" spans="1:9" s="12" customFormat="1" x14ac:dyDescent="0.55000000000000004">
      <c r="C41" s="617"/>
      <c r="E41" s="618">
        <f>E37-E39</f>
        <v>-108490</v>
      </c>
      <c r="H41" s="589"/>
      <c r="I41" s="615">
        <f t="shared" si="1"/>
        <v>0</v>
      </c>
    </row>
    <row r="42" spans="1:9" s="12" customFormat="1" x14ac:dyDescent="0.55000000000000004">
      <c r="C42" s="617"/>
      <c r="H42" s="589"/>
      <c r="I42" s="615">
        <f t="shared" si="1"/>
        <v>0</v>
      </c>
    </row>
    <row r="43" spans="1:9" x14ac:dyDescent="0.55000000000000004">
      <c r="I43" s="615">
        <f t="shared" si="1"/>
        <v>0</v>
      </c>
    </row>
    <row r="44" spans="1:9" x14ac:dyDescent="0.55000000000000004">
      <c r="I44" s="615">
        <f t="shared" si="1"/>
        <v>0</v>
      </c>
    </row>
    <row r="45" spans="1:9" x14ac:dyDescent="0.55000000000000004">
      <c r="I45" s="615">
        <f t="shared" si="1"/>
        <v>0</v>
      </c>
    </row>
    <row r="46" spans="1:9" x14ac:dyDescent="0.55000000000000004">
      <c r="I46" s="615">
        <f t="shared" si="1"/>
        <v>0</v>
      </c>
    </row>
    <row r="47" spans="1:9" x14ac:dyDescent="0.55000000000000004">
      <c r="I47" s="615">
        <f t="shared" ref="I47:I67" si="4">H47-C47</f>
        <v>0</v>
      </c>
    </row>
    <row r="48" spans="1:9" x14ac:dyDescent="0.55000000000000004">
      <c r="I48" s="615">
        <f t="shared" si="4"/>
        <v>0</v>
      </c>
    </row>
    <row r="49" spans="9:9" x14ac:dyDescent="0.55000000000000004">
      <c r="I49" s="615">
        <f t="shared" si="4"/>
        <v>0</v>
      </c>
    </row>
    <row r="50" spans="9:9" x14ac:dyDescent="0.55000000000000004">
      <c r="I50" s="615">
        <f t="shared" si="4"/>
        <v>0</v>
      </c>
    </row>
    <row r="51" spans="9:9" x14ac:dyDescent="0.55000000000000004">
      <c r="I51" s="615">
        <f t="shared" si="4"/>
        <v>0</v>
      </c>
    </row>
    <row r="52" spans="9:9" x14ac:dyDescent="0.55000000000000004">
      <c r="I52" s="615">
        <f t="shared" si="4"/>
        <v>0</v>
      </c>
    </row>
    <row r="53" spans="9:9" x14ac:dyDescent="0.55000000000000004">
      <c r="I53" s="615">
        <f t="shared" si="4"/>
        <v>0</v>
      </c>
    </row>
    <row r="54" spans="9:9" x14ac:dyDescent="0.55000000000000004">
      <c r="I54" s="615">
        <f t="shared" si="4"/>
        <v>0</v>
      </c>
    </row>
    <row r="55" spans="9:9" x14ac:dyDescent="0.55000000000000004">
      <c r="I55" s="615">
        <f t="shared" si="4"/>
        <v>0</v>
      </c>
    </row>
    <row r="56" spans="9:9" x14ac:dyDescent="0.55000000000000004">
      <c r="I56" s="615">
        <f t="shared" si="4"/>
        <v>0</v>
      </c>
    </row>
    <row r="57" spans="9:9" x14ac:dyDescent="0.55000000000000004">
      <c r="I57" s="615">
        <f t="shared" si="4"/>
        <v>0</v>
      </c>
    </row>
    <row r="58" spans="9:9" x14ac:dyDescent="0.55000000000000004">
      <c r="I58" s="615">
        <f t="shared" si="4"/>
        <v>0</v>
      </c>
    </row>
    <row r="59" spans="9:9" x14ac:dyDescent="0.55000000000000004">
      <c r="I59" s="615">
        <f t="shared" si="4"/>
        <v>0</v>
      </c>
    </row>
    <row r="60" spans="9:9" x14ac:dyDescent="0.55000000000000004">
      <c r="I60" s="615">
        <f t="shared" si="4"/>
        <v>0</v>
      </c>
    </row>
    <row r="61" spans="9:9" x14ac:dyDescent="0.55000000000000004">
      <c r="I61" s="615">
        <f t="shared" si="4"/>
        <v>0</v>
      </c>
    </row>
    <row r="62" spans="9:9" x14ac:dyDescent="0.55000000000000004">
      <c r="I62" s="615">
        <f t="shared" si="4"/>
        <v>0</v>
      </c>
    </row>
    <row r="63" spans="9:9" x14ac:dyDescent="0.55000000000000004">
      <c r="I63" s="615">
        <f t="shared" si="4"/>
        <v>0</v>
      </c>
    </row>
    <row r="64" spans="9:9" x14ac:dyDescent="0.55000000000000004">
      <c r="I64" s="615">
        <f t="shared" si="4"/>
        <v>0</v>
      </c>
    </row>
    <row r="65" spans="9:9" x14ac:dyDescent="0.55000000000000004">
      <c r="I65" s="615">
        <f t="shared" si="4"/>
        <v>0</v>
      </c>
    </row>
    <row r="66" spans="9:9" x14ac:dyDescent="0.55000000000000004">
      <c r="I66" s="615">
        <f t="shared" si="4"/>
        <v>0</v>
      </c>
    </row>
    <row r="67" spans="9:9" x14ac:dyDescent="0.55000000000000004">
      <c r="I67" s="615">
        <f t="shared" si="4"/>
        <v>0</v>
      </c>
    </row>
  </sheetData>
  <mergeCells count="7">
    <mergeCell ref="A31:A32"/>
    <mergeCell ref="A1:F1"/>
    <mergeCell ref="A5:A6"/>
    <mergeCell ref="C5:C6"/>
    <mergeCell ref="D5:D6"/>
    <mergeCell ref="E5:E6"/>
    <mergeCell ref="F5:F6"/>
  </mergeCells>
  <pageMargins left="0.59055118110236227" right="0.39370078740157483" top="0.39370078740157483" bottom="0.19685039370078741" header="0.31496062992125984" footer="0.11811023622047245"/>
  <pageSetup paperSize="9" scale="7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</sheetPr>
  <dimension ref="A1:I69"/>
  <sheetViews>
    <sheetView topLeftCell="A46" workbookViewId="0">
      <selection activeCell="A46" sqref="A1:A1048576"/>
    </sheetView>
  </sheetViews>
  <sheetFormatPr defaultColWidth="9" defaultRowHeight="24" x14ac:dyDescent="0.55000000000000004"/>
  <cols>
    <col min="1" max="1" width="80.625" style="122" customWidth="1"/>
    <col min="2" max="2" width="8.125" style="122" customWidth="1"/>
    <col min="3" max="3" width="22.625" style="220" customWidth="1"/>
    <col min="4" max="6" width="22.625" style="122" customWidth="1"/>
    <col min="7" max="7" width="2.875" style="122" customWidth="1"/>
    <col min="8" max="8" width="13.375" style="589" customWidth="1"/>
    <col min="9" max="9" width="12.75" style="12" customWidth="1"/>
    <col min="10" max="18" width="39.375" style="122" customWidth="1"/>
    <col min="19" max="16384" width="9" style="122"/>
  </cols>
  <sheetData>
    <row r="1" spans="1:9" x14ac:dyDescent="0.55000000000000004">
      <c r="A1" s="672" t="s">
        <v>411</v>
      </c>
      <c r="B1" s="672"/>
      <c r="C1" s="672"/>
      <c r="D1" s="672"/>
      <c r="E1" s="672"/>
      <c r="F1" s="672"/>
      <c r="G1" s="240"/>
    </row>
    <row r="2" spans="1:9" x14ac:dyDescent="0.55000000000000004">
      <c r="A2" s="188" t="s">
        <v>55</v>
      </c>
      <c r="B2" s="188"/>
      <c r="C2" s="189"/>
      <c r="D2" s="188"/>
      <c r="E2" s="188"/>
      <c r="F2" s="188"/>
      <c r="G2" s="188"/>
    </row>
    <row r="3" spans="1:9" x14ac:dyDescent="0.55000000000000004">
      <c r="A3" s="190" t="s">
        <v>180</v>
      </c>
      <c r="B3" s="190"/>
      <c r="C3" s="191"/>
      <c r="E3" s="192"/>
      <c r="F3" s="192" t="s">
        <v>28</v>
      </c>
      <c r="G3" s="192"/>
    </row>
    <row r="4" spans="1:9" ht="11.25" customHeight="1" x14ac:dyDescent="0.55000000000000004">
      <c r="A4" s="190"/>
      <c r="B4" s="190"/>
      <c r="C4" s="191"/>
      <c r="D4" s="192"/>
      <c r="E4" s="192"/>
      <c r="F4" s="192"/>
      <c r="G4" s="192"/>
    </row>
    <row r="5" spans="1:9" ht="23.1" customHeight="1" x14ac:dyDescent="0.5">
      <c r="A5" s="675" t="s">
        <v>13</v>
      </c>
      <c r="B5" s="193" t="s">
        <v>5</v>
      </c>
      <c r="C5" s="677" t="s">
        <v>1</v>
      </c>
      <c r="D5" s="679" t="s">
        <v>414</v>
      </c>
      <c r="E5" s="679" t="s">
        <v>415</v>
      </c>
      <c r="F5" s="679" t="s">
        <v>416</v>
      </c>
      <c r="G5" s="526"/>
      <c r="H5" s="612" t="s">
        <v>255</v>
      </c>
      <c r="I5" s="613" t="s">
        <v>381</v>
      </c>
    </row>
    <row r="6" spans="1:9" ht="23.1" customHeight="1" x14ac:dyDescent="0.2">
      <c r="A6" s="676"/>
      <c r="B6" s="194" t="s">
        <v>3</v>
      </c>
      <c r="C6" s="678"/>
      <c r="D6" s="671"/>
      <c r="E6" s="671"/>
      <c r="F6" s="671"/>
      <c r="G6" s="240"/>
      <c r="H6" s="614"/>
      <c r="I6" s="298"/>
    </row>
    <row r="7" spans="1:9" ht="23.1" customHeight="1" x14ac:dyDescent="0.55000000000000004">
      <c r="A7" s="195" t="s">
        <v>194</v>
      </c>
      <c r="B7" s="196" t="s">
        <v>2</v>
      </c>
      <c r="C7" s="197">
        <f>SUM(D7:F7)</f>
        <v>947400</v>
      </c>
      <c r="D7" s="198">
        <f>D9</f>
        <v>809200</v>
      </c>
      <c r="E7" s="198">
        <f>E9</f>
        <v>138200</v>
      </c>
      <c r="F7" s="198">
        <f>F9</f>
        <v>0</v>
      </c>
      <c r="G7" s="240"/>
      <c r="H7" s="589">
        <f>C7-947400</f>
        <v>0</v>
      </c>
    </row>
    <row r="8" spans="1:9" ht="23.1" customHeight="1" x14ac:dyDescent="0.55000000000000004">
      <c r="A8" s="195"/>
      <c r="B8" s="196" t="s">
        <v>3</v>
      </c>
      <c r="C8" s="197"/>
      <c r="D8" s="198"/>
      <c r="E8" s="198"/>
      <c r="F8" s="198"/>
      <c r="G8" s="240"/>
    </row>
    <row r="9" spans="1:9" ht="23.1" customHeight="1" x14ac:dyDescent="0.55000000000000004">
      <c r="A9" s="199" t="s">
        <v>347</v>
      </c>
      <c r="B9" s="200" t="s">
        <v>2</v>
      </c>
      <c r="C9" s="201">
        <f>SUM(D9:F9)</f>
        <v>947400</v>
      </c>
      <c r="D9" s="202">
        <f>D11</f>
        <v>809200</v>
      </c>
      <c r="E9" s="202">
        <f t="shared" ref="E9:F9" si="0">E11</f>
        <v>138200</v>
      </c>
      <c r="F9" s="202">
        <f t="shared" si="0"/>
        <v>0</v>
      </c>
      <c r="G9" s="240"/>
    </row>
    <row r="10" spans="1:9" ht="23.1" customHeight="1" x14ac:dyDescent="0.55000000000000004">
      <c r="A10" s="230"/>
      <c r="B10" s="200" t="s">
        <v>3</v>
      </c>
      <c r="C10" s="201"/>
      <c r="D10" s="202"/>
      <c r="E10" s="202"/>
      <c r="F10" s="202"/>
      <c r="G10" s="240"/>
    </row>
    <row r="11" spans="1:9" ht="23.1" customHeight="1" x14ac:dyDescent="0.55000000000000004">
      <c r="A11" s="205" t="s">
        <v>338</v>
      </c>
      <c r="B11" s="525" t="s">
        <v>2</v>
      </c>
      <c r="C11" s="248">
        <f>SUM(D11:F11)</f>
        <v>947400</v>
      </c>
      <c r="D11" s="248">
        <f>SUM(D15:D25)</f>
        <v>809200</v>
      </c>
      <c r="E11" s="248">
        <f>SUM(E15:E25)</f>
        <v>138200</v>
      </c>
      <c r="F11" s="248">
        <f t="shared" ref="F11" si="1">SUM(F15:F25)</f>
        <v>0</v>
      </c>
      <c r="G11" s="240"/>
    </row>
    <row r="12" spans="1:9" ht="23.1" customHeight="1" x14ac:dyDescent="0.55000000000000004">
      <c r="A12" s="479"/>
      <c r="B12" s="524" t="s">
        <v>3</v>
      </c>
      <c r="C12" s="243"/>
      <c r="D12" s="243"/>
      <c r="E12" s="243"/>
      <c r="F12" s="243"/>
      <c r="G12" s="240"/>
    </row>
    <row r="13" spans="1:9" ht="23.1" customHeight="1" x14ac:dyDescent="0.55000000000000004">
      <c r="A13" s="206" t="s">
        <v>38</v>
      </c>
      <c r="B13" s="241"/>
      <c r="C13" s="243"/>
      <c r="D13" s="247"/>
      <c r="E13" s="247"/>
      <c r="F13" s="247"/>
      <c r="G13" s="253"/>
    </row>
    <row r="14" spans="1:9" ht="23.1" customHeight="1" x14ac:dyDescent="0.55000000000000004">
      <c r="A14" s="207" t="s">
        <v>9</v>
      </c>
      <c r="B14" s="241"/>
      <c r="C14" s="243"/>
      <c r="D14" s="247"/>
      <c r="E14" s="247"/>
      <c r="F14" s="247"/>
      <c r="G14" s="253"/>
    </row>
    <row r="15" spans="1:9" ht="23.1" customHeight="1" x14ac:dyDescent="0.55000000000000004">
      <c r="A15" s="208" t="s">
        <v>262</v>
      </c>
      <c r="B15" s="241" t="s">
        <v>2</v>
      </c>
      <c r="C15" s="243">
        <f>SUM(D15:F15)</f>
        <v>126000</v>
      </c>
      <c r="D15" s="255">
        <v>126000</v>
      </c>
      <c r="E15" s="255"/>
      <c r="F15" s="255"/>
      <c r="G15" s="483"/>
      <c r="H15" s="589">
        <v>126000</v>
      </c>
      <c r="I15" s="615">
        <f t="shared" ref="I15:I48" si="2">H15-C15</f>
        <v>0</v>
      </c>
    </row>
    <row r="16" spans="1:9" ht="23.1" customHeight="1" x14ac:dyDescent="0.55000000000000004">
      <c r="A16" s="207" t="s">
        <v>10</v>
      </c>
      <c r="B16" s="241"/>
      <c r="C16" s="243"/>
      <c r="D16" s="247"/>
      <c r="E16" s="247"/>
      <c r="F16" s="247"/>
      <c r="G16" s="253"/>
      <c r="I16" s="615">
        <f t="shared" si="2"/>
        <v>0</v>
      </c>
    </row>
    <row r="17" spans="1:9" ht="23.1" customHeight="1" x14ac:dyDescent="0.55000000000000004">
      <c r="A17" s="208" t="s">
        <v>263</v>
      </c>
      <c r="B17" s="241" t="s">
        <v>2</v>
      </c>
      <c r="C17" s="243">
        <f>SUM(D17:F17)</f>
        <v>36200</v>
      </c>
      <c r="D17" s="255"/>
      <c r="E17" s="255">
        <v>36200</v>
      </c>
      <c r="F17" s="255"/>
      <c r="G17" s="483"/>
      <c r="H17" s="589">
        <v>36200</v>
      </c>
      <c r="I17" s="615">
        <f t="shared" si="2"/>
        <v>0</v>
      </c>
    </row>
    <row r="18" spans="1:9" ht="23.1" customHeight="1" x14ac:dyDescent="0.55000000000000004">
      <c r="A18" s="208" t="s">
        <v>264</v>
      </c>
      <c r="B18" s="241" t="s">
        <v>2</v>
      </c>
      <c r="C18" s="243">
        <f>SUM(D18:F18)</f>
        <v>22000</v>
      </c>
      <c r="D18" s="255"/>
      <c r="E18" s="255">
        <v>22000</v>
      </c>
      <c r="F18" s="255"/>
      <c r="G18" s="483"/>
      <c r="H18" s="589">
        <v>22000</v>
      </c>
      <c r="I18" s="615">
        <f t="shared" si="2"/>
        <v>0</v>
      </c>
    </row>
    <row r="19" spans="1:9" ht="23.1" customHeight="1" x14ac:dyDescent="0.55000000000000004">
      <c r="A19" s="208" t="s">
        <v>265</v>
      </c>
      <c r="B19" s="241" t="s">
        <v>2</v>
      </c>
      <c r="C19" s="243">
        <f>SUM(D19:F19)</f>
        <v>604800</v>
      </c>
      <c r="D19" s="255">
        <v>604800</v>
      </c>
      <c r="E19" s="255"/>
      <c r="F19" s="255"/>
      <c r="G19" s="483"/>
      <c r="H19" s="589">
        <v>604800</v>
      </c>
      <c r="I19" s="615">
        <f t="shared" si="2"/>
        <v>0</v>
      </c>
    </row>
    <row r="20" spans="1:9" ht="23.1" customHeight="1" x14ac:dyDescent="0.55000000000000004">
      <c r="A20" s="207" t="s">
        <v>11</v>
      </c>
      <c r="B20" s="241"/>
      <c r="C20" s="243"/>
      <c r="D20" s="254"/>
      <c r="E20" s="254"/>
      <c r="F20" s="254"/>
      <c r="G20" s="529"/>
      <c r="I20" s="615">
        <f t="shared" si="2"/>
        <v>0</v>
      </c>
    </row>
    <row r="21" spans="1:9" ht="23.1" hidden="1" customHeight="1" x14ac:dyDescent="0.55000000000000004">
      <c r="A21" s="208" t="s">
        <v>266</v>
      </c>
      <c r="B21" s="241" t="s">
        <v>2</v>
      </c>
      <c r="C21" s="243">
        <f t="shared" ref="C21:C26" si="3">SUM(D21:F21)</f>
        <v>0</v>
      </c>
      <c r="D21" s="254"/>
      <c r="E21" s="254"/>
      <c r="F21" s="254"/>
      <c r="G21" s="529"/>
      <c r="I21" s="615">
        <f t="shared" si="2"/>
        <v>0</v>
      </c>
    </row>
    <row r="22" spans="1:9" ht="23.1" customHeight="1" x14ac:dyDescent="0.55000000000000004">
      <c r="A22" s="208" t="s">
        <v>436</v>
      </c>
      <c r="B22" s="241" t="s">
        <v>2</v>
      </c>
      <c r="C22" s="243">
        <f t="shared" si="3"/>
        <v>80000</v>
      </c>
      <c r="D22" s="255"/>
      <c r="E22" s="255">
        <v>80000</v>
      </c>
      <c r="F22" s="255"/>
      <c r="G22" s="483"/>
      <c r="H22" s="589">
        <v>80000</v>
      </c>
      <c r="I22" s="615">
        <f t="shared" si="2"/>
        <v>0</v>
      </c>
    </row>
    <row r="23" spans="1:9" ht="23.1" customHeight="1" x14ac:dyDescent="0.55000000000000004">
      <c r="A23" s="208" t="s">
        <v>267</v>
      </c>
      <c r="B23" s="241" t="s">
        <v>2</v>
      </c>
      <c r="C23" s="243">
        <f t="shared" si="3"/>
        <v>50000</v>
      </c>
      <c r="D23" s="255">
        <v>50000</v>
      </c>
      <c r="E23" s="255"/>
      <c r="F23" s="255"/>
      <c r="G23" s="483"/>
      <c r="H23" s="589">
        <v>50000</v>
      </c>
      <c r="I23" s="615">
        <f t="shared" si="2"/>
        <v>0</v>
      </c>
    </row>
    <row r="24" spans="1:9" ht="23.1" customHeight="1" x14ac:dyDescent="0.55000000000000004">
      <c r="A24" s="208" t="s">
        <v>268</v>
      </c>
      <c r="B24" s="241" t="s">
        <v>2</v>
      </c>
      <c r="C24" s="243">
        <f t="shared" si="3"/>
        <v>24000</v>
      </c>
      <c r="D24" s="255">
        <v>24000</v>
      </c>
      <c r="E24" s="255">
        <v>0</v>
      </c>
      <c r="F24" s="255"/>
      <c r="G24" s="483"/>
      <c r="H24" s="589">
        <v>24000</v>
      </c>
      <c r="I24" s="615">
        <f t="shared" si="2"/>
        <v>0</v>
      </c>
    </row>
    <row r="25" spans="1:9" ht="23.1" customHeight="1" x14ac:dyDescent="0.55000000000000004">
      <c r="A25" s="223" t="s">
        <v>269</v>
      </c>
      <c r="B25" s="236" t="s">
        <v>2</v>
      </c>
      <c r="C25" s="237">
        <f t="shared" si="3"/>
        <v>4400</v>
      </c>
      <c r="D25" s="211">
        <v>4400</v>
      </c>
      <c r="E25" s="211"/>
      <c r="F25" s="211"/>
      <c r="G25" s="483"/>
      <c r="H25" s="589">
        <v>4400</v>
      </c>
      <c r="I25" s="615">
        <f t="shared" si="2"/>
        <v>0</v>
      </c>
    </row>
    <row r="26" spans="1:9" ht="23.1" customHeight="1" x14ac:dyDescent="0.55000000000000004">
      <c r="A26" s="468" t="s">
        <v>365</v>
      </c>
      <c r="B26" s="196" t="s">
        <v>2</v>
      </c>
      <c r="C26" s="197">
        <f t="shared" si="3"/>
        <v>947400</v>
      </c>
      <c r="D26" s="197">
        <f>D7</f>
        <v>809200</v>
      </c>
      <c r="E26" s="197">
        <f>E7</f>
        <v>138200</v>
      </c>
      <c r="F26" s="214">
        <f>F7</f>
        <v>0</v>
      </c>
      <c r="G26" s="483"/>
      <c r="I26" s="615"/>
    </row>
    <row r="27" spans="1:9" ht="23.1" customHeight="1" x14ac:dyDescent="0.55000000000000004">
      <c r="A27" s="495"/>
      <c r="B27" s="196" t="s">
        <v>3</v>
      </c>
      <c r="C27" s="197"/>
      <c r="D27" s="198"/>
      <c r="E27" s="198"/>
      <c r="F27" s="198"/>
      <c r="G27" s="483"/>
      <c r="I27" s="615">
        <f t="shared" si="2"/>
        <v>0</v>
      </c>
    </row>
    <row r="28" spans="1:9" ht="23.1" customHeight="1" x14ac:dyDescent="0.55000000000000004">
      <c r="A28" s="195" t="s">
        <v>366</v>
      </c>
      <c r="B28" s="196" t="s">
        <v>2</v>
      </c>
      <c r="C28" s="197">
        <f>SUM(D28:F28)</f>
        <v>0</v>
      </c>
      <c r="D28" s="198">
        <v>0</v>
      </c>
      <c r="E28" s="198">
        <v>0</v>
      </c>
      <c r="F28" s="198">
        <v>0</v>
      </c>
      <c r="G28" s="483"/>
      <c r="I28" s="615">
        <f t="shared" si="2"/>
        <v>0</v>
      </c>
    </row>
    <row r="29" spans="1:9" ht="23.1" customHeight="1" x14ac:dyDescent="0.55000000000000004">
      <c r="A29" s="495"/>
      <c r="B29" s="196" t="s">
        <v>3</v>
      </c>
      <c r="C29" s="197"/>
      <c r="D29" s="198"/>
      <c r="E29" s="198"/>
      <c r="F29" s="198"/>
      <c r="G29" s="483"/>
      <c r="I29" s="615">
        <f t="shared" si="2"/>
        <v>0</v>
      </c>
    </row>
    <row r="30" spans="1:9" ht="23.1" customHeight="1" x14ac:dyDescent="0.55000000000000004">
      <c r="A30" s="673" t="s">
        <v>1</v>
      </c>
      <c r="B30" s="225" t="s">
        <v>2</v>
      </c>
      <c r="C30" s="226">
        <f>SUM(D30:F30)</f>
        <v>947400</v>
      </c>
      <c r="D30" s="226">
        <f>D26+D28</f>
        <v>809200</v>
      </c>
      <c r="E30" s="226">
        <f t="shared" ref="E30:F30" si="4">E26+E28</f>
        <v>138200</v>
      </c>
      <c r="F30" s="226">
        <f t="shared" si="4"/>
        <v>0</v>
      </c>
      <c r="G30" s="483"/>
      <c r="I30" s="615"/>
    </row>
    <row r="31" spans="1:9" ht="23.1" customHeight="1" x14ac:dyDescent="0.55000000000000004">
      <c r="A31" s="674"/>
      <c r="B31" s="225" t="s">
        <v>3</v>
      </c>
      <c r="C31" s="214"/>
      <c r="D31" s="215"/>
      <c r="E31" s="215"/>
      <c r="F31" s="215"/>
      <c r="G31" s="483"/>
      <c r="I31" s="615">
        <f t="shared" si="2"/>
        <v>0</v>
      </c>
    </row>
    <row r="32" spans="1:9" ht="25.5" customHeight="1" x14ac:dyDescent="0.55000000000000004">
      <c r="A32" s="190" t="s">
        <v>433</v>
      </c>
      <c r="B32" s="216"/>
      <c r="C32" s="217"/>
      <c r="D32" s="218"/>
      <c r="E32" s="218"/>
      <c r="F32" s="218"/>
      <c r="G32" s="483"/>
      <c r="I32" s="615">
        <f t="shared" si="2"/>
        <v>0</v>
      </c>
    </row>
    <row r="33" spans="1:9" ht="25.5" customHeight="1" x14ac:dyDescent="0.55000000000000004">
      <c r="A33" s="190"/>
      <c r="B33" s="216"/>
      <c r="C33" s="217"/>
      <c r="D33" s="218"/>
      <c r="E33" s="218"/>
      <c r="F33" s="218"/>
      <c r="G33" s="483"/>
      <c r="I33" s="615"/>
    </row>
    <row r="34" spans="1:9" ht="25.5" customHeight="1" x14ac:dyDescent="0.55000000000000004">
      <c r="A34" s="190"/>
      <c r="B34" s="216"/>
      <c r="C34" s="217"/>
      <c r="D34" s="218"/>
      <c r="E34" s="218"/>
      <c r="F34" s="218"/>
      <c r="G34" s="483"/>
      <c r="I34" s="615"/>
    </row>
    <row r="35" spans="1:9" s="12" customFormat="1" ht="21.95" customHeight="1" x14ac:dyDescent="0.55000000000000004">
      <c r="B35" s="216"/>
      <c r="C35" s="620">
        <f>C30-C7</f>
        <v>0</v>
      </c>
      <c r="D35" s="620">
        <f t="shared" ref="D35:F35" si="5">D30-D7</f>
        <v>0</v>
      </c>
      <c r="E35" s="620">
        <f t="shared" si="5"/>
        <v>0</v>
      </c>
      <c r="F35" s="620">
        <f t="shared" si="5"/>
        <v>0</v>
      </c>
      <c r="G35" s="219"/>
      <c r="H35" s="589"/>
      <c r="I35" s="615">
        <f t="shared" si="2"/>
        <v>0</v>
      </c>
    </row>
    <row r="36" spans="1:9" s="12" customFormat="1" ht="22.5" customHeight="1" x14ac:dyDescent="0.55000000000000004">
      <c r="C36" s="617"/>
      <c r="D36" s="618"/>
      <c r="H36" s="589"/>
      <c r="I36" s="615">
        <f t="shared" si="2"/>
        <v>0</v>
      </c>
    </row>
    <row r="37" spans="1:9" s="12" customFormat="1" ht="19.5" customHeight="1" x14ac:dyDescent="0.55000000000000004">
      <c r="C37" s="619">
        <f>C11*30/100</f>
        <v>284220</v>
      </c>
      <c r="D37" s="618">
        <f>D17+D18+D15+D22+D23+D24+D25</f>
        <v>204400</v>
      </c>
      <c r="H37" s="589"/>
      <c r="I37" s="615">
        <f t="shared" si="2"/>
        <v>-284220</v>
      </c>
    </row>
    <row r="38" spans="1:9" s="12" customFormat="1" x14ac:dyDescent="0.55000000000000004">
      <c r="C38" s="617"/>
      <c r="H38" s="589"/>
      <c r="I38" s="615">
        <f t="shared" si="2"/>
        <v>0</v>
      </c>
    </row>
    <row r="39" spans="1:9" s="12" customFormat="1" x14ac:dyDescent="0.55000000000000004">
      <c r="C39" s="617"/>
      <c r="H39" s="589"/>
      <c r="I39" s="615">
        <f t="shared" si="2"/>
        <v>0</v>
      </c>
    </row>
    <row r="40" spans="1:9" x14ac:dyDescent="0.55000000000000004">
      <c r="I40" s="615">
        <f t="shared" si="2"/>
        <v>0</v>
      </c>
    </row>
    <row r="41" spans="1:9" x14ac:dyDescent="0.55000000000000004">
      <c r="I41" s="615">
        <f t="shared" si="2"/>
        <v>0</v>
      </c>
    </row>
    <row r="42" spans="1:9" x14ac:dyDescent="0.55000000000000004">
      <c r="I42" s="615">
        <f t="shared" si="2"/>
        <v>0</v>
      </c>
    </row>
    <row r="43" spans="1:9" x14ac:dyDescent="0.55000000000000004">
      <c r="I43" s="615">
        <f t="shared" si="2"/>
        <v>0</v>
      </c>
    </row>
    <row r="44" spans="1:9" x14ac:dyDescent="0.55000000000000004">
      <c r="I44" s="615">
        <f t="shared" si="2"/>
        <v>0</v>
      </c>
    </row>
    <row r="45" spans="1:9" x14ac:dyDescent="0.55000000000000004">
      <c r="I45" s="615">
        <f t="shared" si="2"/>
        <v>0</v>
      </c>
    </row>
    <row r="46" spans="1:9" x14ac:dyDescent="0.55000000000000004">
      <c r="I46" s="615">
        <f t="shared" si="2"/>
        <v>0</v>
      </c>
    </row>
    <row r="47" spans="1:9" x14ac:dyDescent="0.55000000000000004">
      <c r="I47" s="615">
        <f t="shared" si="2"/>
        <v>0</v>
      </c>
    </row>
    <row r="48" spans="1:9" x14ac:dyDescent="0.55000000000000004">
      <c r="I48" s="615">
        <f t="shared" si="2"/>
        <v>0</v>
      </c>
    </row>
    <row r="49" spans="9:9" x14ac:dyDescent="0.55000000000000004">
      <c r="I49" s="615">
        <f t="shared" ref="I49:I69" si="6">H49-C49</f>
        <v>0</v>
      </c>
    </row>
    <row r="50" spans="9:9" x14ac:dyDescent="0.55000000000000004">
      <c r="I50" s="615">
        <f t="shared" si="6"/>
        <v>0</v>
      </c>
    </row>
    <row r="51" spans="9:9" x14ac:dyDescent="0.55000000000000004">
      <c r="I51" s="615">
        <f t="shared" si="6"/>
        <v>0</v>
      </c>
    </row>
    <row r="52" spans="9:9" x14ac:dyDescent="0.55000000000000004">
      <c r="I52" s="615">
        <f t="shared" si="6"/>
        <v>0</v>
      </c>
    </row>
    <row r="53" spans="9:9" x14ac:dyDescent="0.55000000000000004">
      <c r="I53" s="615">
        <f t="shared" si="6"/>
        <v>0</v>
      </c>
    </row>
    <row r="54" spans="9:9" x14ac:dyDescent="0.55000000000000004">
      <c r="I54" s="615">
        <f t="shared" si="6"/>
        <v>0</v>
      </c>
    </row>
    <row r="55" spans="9:9" x14ac:dyDescent="0.55000000000000004">
      <c r="I55" s="615">
        <f t="shared" si="6"/>
        <v>0</v>
      </c>
    </row>
    <row r="56" spans="9:9" x14ac:dyDescent="0.55000000000000004">
      <c r="I56" s="615">
        <f t="shared" si="6"/>
        <v>0</v>
      </c>
    </row>
    <row r="57" spans="9:9" x14ac:dyDescent="0.55000000000000004">
      <c r="I57" s="615">
        <f t="shared" si="6"/>
        <v>0</v>
      </c>
    </row>
    <row r="58" spans="9:9" x14ac:dyDescent="0.55000000000000004">
      <c r="I58" s="615">
        <f t="shared" si="6"/>
        <v>0</v>
      </c>
    </row>
    <row r="59" spans="9:9" x14ac:dyDescent="0.55000000000000004">
      <c r="I59" s="615">
        <f t="shared" si="6"/>
        <v>0</v>
      </c>
    </row>
    <row r="60" spans="9:9" x14ac:dyDescent="0.55000000000000004">
      <c r="I60" s="615">
        <f t="shared" si="6"/>
        <v>0</v>
      </c>
    </row>
    <row r="61" spans="9:9" x14ac:dyDescent="0.55000000000000004">
      <c r="I61" s="615">
        <f t="shared" si="6"/>
        <v>0</v>
      </c>
    </row>
    <row r="62" spans="9:9" x14ac:dyDescent="0.55000000000000004">
      <c r="I62" s="615">
        <f t="shared" si="6"/>
        <v>0</v>
      </c>
    </row>
    <row r="63" spans="9:9" x14ac:dyDescent="0.55000000000000004">
      <c r="I63" s="615">
        <f t="shared" si="6"/>
        <v>0</v>
      </c>
    </row>
    <row r="64" spans="9:9" x14ac:dyDescent="0.55000000000000004">
      <c r="I64" s="615">
        <f t="shared" si="6"/>
        <v>0</v>
      </c>
    </row>
    <row r="65" spans="9:9" x14ac:dyDescent="0.55000000000000004">
      <c r="I65" s="615">
        <f t="shared" si="6"/>
        <v>0</v>
      </c>
    </row>
    <row r="66" spans="9:9" x14ac:dyDescent="0.55000000000000004">
      <c r="I66" s="615">
        <f t="shared" si="6"/>
        <v>0</v>
      </c>
    </row>
    <row r="67" spans="9:9" x14ac:dyDescent="0.55000000000000004">
      <c r="I67" s="615">
        <f t="shared" si="6"/>
        <v>0</v>
      </c>
    </row>
    <row r="68" spans="9:9" x14ac:dyDescent="0.55000000000000004">
      <c r="I68" s="615">
        <f t="shared" si="6"/>
        <v>0</v>
      </c>
    </row>
    <row r="69" spans="9:9" x14ac:dyDescent="0.55000000000000004">
      <c r="I69" s="615">
        <f t="shared" si="6"/>
        <v>0</v>
      </c>
    </row>
  </sheetData>
  <mergeCells count="7">
    <mergeCell ref="A30:A31"/>
    <mergeCell ref="A1:F1"/>
    <mergeCell ref="A5:A6"/>
    <mergeCell ref="C5:C6"/>
    <mergeCell ref="D5:D6"/>
    <mergeCell ref="E5:E6"/>
    <mergeCell ref="F5:F6"/>
  </mergeCells>
  <pageMargins left="0.59055118110236227" right="0.39370078740157483" top="0.47244094488188981" bottom="0.19685039370078741" header="0.31496062992125984" footer="0.11811023622047245"/>
  <pageSetup paperSize="9"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22</vt:i4>
      </vt:variant>
      <vt:variant>
        <vt:lpstr>ช่วงที่มีชื่อ</vt:lpstr>
      </vt:variant>
      <vt:variant>
        <vt:i4>17</vt:i4>
      </vt:variant>
    </vt:vector>
  </HeadingPairs>
  <TitlesOfParts>
    <vt:vector size="39" baseType="lpstr">
      <vt:lpstr>สงม.1 (แยกเดือน)</vt:lpstr>
      <vt:lpstr>สงม.1</vt:lpstr>
      <vt:lpstr>สงม.1 (รวม)</vt:lpstr>
      <vt:lpstr>สงม.1 (แยกฝ่าย)</vt:lpstr>
      <vt:lpstr>สงม. 2 (งบบุคลากร)</vt:lpstr>
      <vt:lpstr>สงม. 2 ปกครอง</vt:lpstr>
      <vt:lpstr>สงม. 2 ทะเบียน</vt:lpstr>
      <vt:lpstr>สงม. 2 คลัง</vt:lpstr>
      <vt:lpstr>สงม. 2 รายได้</vt:lpstr>
      <vt:lpstr>สงม. 2 รักษาฯ</vt:lpstr>
      <vt:lpstr>สงม. 2 เทศกิจ</vt:lpstr>
      <vt:lpstr>สงม. 2 โยธา</vt:lpstr>
      <vt:lpstr>สงม. 2 พัฒนาชุมชน</vt:lpstr>
      <vt:lpstr>สงม. 2 สวล.</vt:lpstr>
      <vt:lpstr>สงม. 2 ศึกษา</vt:lpstr>
      <vt:lpstr>โครงยุทธศาสตร์</vt:lpstr>
      <vt:lpstr>แนบท้ายแบบ 1</vt:lpstr>
      <vt:lpstr>สงม.1คลัง</vt:lpstr>
      <vt:lpstr>สงม. 2งบประมาณ</vt:lpstr>
      <vt:lpstr>form. สงม. 2 (โยธา)</vt:lpstr>
      <vt:lpstr>form.สงม. 2 (สวล.)</vt:lpstr>
      <vt:lpstr>ศึกษา</vt:lpstr>
      <vt:lpstr>'สงม. 2งบประมาณ'!Print_Area</vt:lpstr>
      <vt:lpstr>'form. สงม. 2 (โยธา)'!Print_Titles</vt:lpstr>
      <vt:lpstr>'form.สงม. 2 (สวล.)'!Print_Titles</vt:lpstr>
      <vt:lpstr>โครงยุทธศาสตร์!Print_Titles</vt:lpstr>
      <vt:lpstr>'สงม. 2 (งบบุคลากร)'!Print_Titles</vt:lpstr>
      <vt:lpstr>'สงม. 2 คลัง'!Print_Titles</vt:lpstr>
      <vt:lpstr>'สงม. 2 ทะเบียน'!Print_Titles</vt:lpstr>
      <vt:lpstr>'สงม. 2 เทศกิจ'!Print_Titles</vt:lpstr>
      <vt:lpstr>'สงม. 2 ปกครอง'!Print_Titles</vt:lpstr>
      <vt:lpstr>'สงม. 2 พัฒนาชุมชน'!Print_Titles</vt:lpstr>
      <vt:lpstr>'สงม. 2 โยธา'!Print_Titles</vt:lpstr>
      <vt:lpstr>'สงม. 2 รักษาฯ'!Print_Titles</vt:lpstr>
      <vt:lpstr>'สงม. 2 รายได้'!Print_Titles</vt:lpstr>
      <vt:lpstr>'สงม. 2 ศึกษา'!Print_Titles</vt:lpstr>
      <vt:lpstr>'สงม. 2 สวล.'!Print_Titles</vt:lpstr>
      <vt:lpstr>'สงม. 2งบประมาณ'!Print_Titles</vt:lpstr>
      <vt:lpstr>'สงม.1 (รวม)'!Print_Titles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2021-09-25T07:01:21Z</dcterms:created>
  <dcterms:modified xsi:type="dcterms:W3CDTF">2025-03-15T09:33:58Z</dcterms:modified>
</cp:coreProperties>
</file>